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tabRatio="500" activeTab="0"/>
  </bookViews>
  <sheets>
    <sheet name="Deckblatt" sheetId="1" r:id="rId1"/>
    <sheet name="Zusammenhang-Heizen" sheetId="2" r:id="rId2"/>
    <sheet name="Parameter+Grundlagen" sheetId="3" r:id="rId3"/>
    <sheet name="Liegenschaften" sheetId="4" r:id="rId4"/>
    <sheet name="Uebersicht" sheetId="5" r:id="rId5"/>
    <sheet name="Resultate" sheetId="6" r:id="rId6"/>
    <sheet name="Sortierung" sheetId="7" r:id="rId7"/>
  </sheets>
  <definedNames>
    <definedName name="_xlnm.Print_Area" localSheetId="3">'Liegenschaften'!$E$3:$AH$47</definedName>
    <definedName name="_xlnm.Print_Area" localSheetId="4">'Uebersicht'!$A$1:$AA$95</definedName>
  </definedNames>
  <calcPr calcId="145621"/>
  <extLst/>
</workbook>
</file>

<file path=xl/comments3.xml><?xml version="1.0" encoding="utf-8"?>
<comments xmlns="http://schemas.openxmlformats.org/spreadsheetml/2006/main">
  <authors>
    <author>HD</author>
  </authors>
  <commentList>
    <comment ref="B35" authorId="0">
      <text>
        <r>
          <rPr>
            <sz val="10"/>
            <rFont val="Arial"/>
            <family val="2"/>
          </rPr>
          <t>ENERGIEWIRTSCHAFTLICHE TAGESFRAGEN 64. Jg. (2014) Heft 11
S. 67</t>
        </r>
      </text>
    </comment>
    <comment ref="F5" authorId="0">
      <text>
        <r>
          <rPr>
            <sz val="10"/>
            <rFont val="Arial"/>
            <family val="2"/>
          </rPr>
          <t>inkl. MWSt.</t>
        </r>
      </text>
    </comment>
    <comment ref="H10" authorId="0">
      <text>
        <r>
          <rPr>
            <sz val="10"/>
            <rFont val="Arial"/>
            <family val="2"/>
          </rPr>
          <t>Annahme hier etwas willkürlich.
Siehe (?*)</t>
        </r>
      </text>
    </comment>
  </commentList>
</comments>
</file>

<file path=xl/comments4.xml><?xml version="1.0" encoding="utf-8"?>
<comments xmlns="http://schemas.openxmlformats.org/spreadsheetml/2006/main">
  <authors>
    <author>HD</author>
  </authors>
  <commentList>
    <comment ref="X3" authorId="0">
      <text>
        <r>
          <rPr>
            <sz val="10"/>
            <rFont val="Arial"/>
            <family val="2"/>
          </rPr>
          <t>veglichen mit einem durchgehend genutzten Gebäude. Vorsicht: Schätzung ist UNGENAU und muss in Betracht ziehen, dass bei Abschaltungen wie Nachtabsenkung etc. das Gebäude wieder aufgeheizt werden muss für die nächste Nutzung.
Die Abschätzung wird dennoch benötigt, da sonst eine faire Bewertung des Gebäudes nicht möglich ist.
Wenn keine anderen Informationen vorhanden sind: 100% angenommen.</t>
        </r>
      </text>
    </comment>
    <comment ref="X4" authorId="0">
      <text>
        <r>
          <rPr>
            <sz val="10"/>
            <rFont val="Arial"/>
            <family val="2"/>
          </rPr>
          <t>&lt; 100% wg. “Ferien” im Winter</t>
        </r>
      </text>
    </comment>
    <comment ref="X6" authorId="0">
      <text>
        <r>
          <rPr>
            <sz val="10"/>
            <rFont val="Arial"/>
            <family val="2"/>
          </rPr>
          <t>Annahme: Etwas zusätzliche Zeit zum Aufheizen</t>
        </r>
      </text>
    </comment>
    <comment ref="X8" authorId="0">
      <text>
        <r>
          <rPr>
            <sz val="10"/>
            <rFont val="Arial"/>
            <family val="2"/>
          </rPr>
          <t>&lt; 100% wg. “Ferien” im Winter</t>
        </r>
      </text>
    </comment>
    <comment ref="X9" authorId="0">
      <text>
        <r>
          <rPr>
            <sz val="10"/>
            <rFont val="Arial"/>
            <family val="2"/>
          </rPr>
          <t>Annahme: Etwas zusätzliche Zeit zum Aufheizen</t>
        </r>
      </text>
    </comment>
    <comment ref="X13" authorId="0">
      <text>
        <r>
          <rPr>
            <sz val="10"/>
            <rFont val="Arial"/>
            <family val="2"/>
          </rPr>
          <t>ganz grober Ansatz ! Nochmal darüber nachdenken.</t>
        </r>
      </text>
    </comment>
    <comment ref="X14" authorId="0">
      <text>
        <r>
          <rPr>
            <sz val="10"/>
            <rFont val="Arial"/>
            <family val="2"/>
          </rPr>
          <t>ganz grober Ansatz ! Nochmal darüber nachdenken.</t>
        </r>
      </text>
    </comment>
    <comment ref="X15" authorId="0">
      <text>
        <r>
          <rPr>
            <sz val="10"/>
            <rFont val="Arial"/>
            <family val="2"/>
          </rPr>
          <t>&lt; 100% wg. “Ferien” im Winter</t>
        </r>
      </text>
    </comment>
    <comment ref="X16" authorId="0">
      <text>
        <r>
          <rPr>
            <sz val="10"/>
            <rFont val="Arial"/>
            <family val="2"/>
          </rPr>
          <t>&lt; 100% wg. “Ferien” im Winter</t>
        </r>
      </text>
    </comment>
    <comment ref="X17" authorId="0">
      <text>
        <r>
          <rPr>
            <sz val="10"/>
            <rFont val="Arial"/>
            <family val="2"/>
          </rPr>
          <t>&lt; 100% wg. “Ferien” im Winter</t>
        </r>
      </text>
    </comment>
    <comment ref="X20" authorId="0">
      <text>
        <r>
          <rPr>
            <sz val="10"/>
            <rFont val="Arial"/>
            <family val="2"/>
          </rPr>
          <t>Wert völlig aus der Luft gegriffen !! Wer weiss mehr ?</t>
        </r>
      </text>
    </comment>
    <comment ref="Y3" authorId="0">
      <text>
        <r>
          <rPr>
            <sz val="10"/>
            <rFont val="Arial"/>
            <family val="2"/>
          </rPr>
          <t>in den jeweiligen Einheiten. Bei getankten Betriebsstoffen: Einfacher Mittelwert, bei Gas: Gewichtete Mittelwerte (neuere Verbräuche stärker berücksichtigt). Dadurch werden aktuellere Änderungen in der Nutzung stärker berücksichtigt.</t>
        </r>
      </text>
    </comment>
    <comment ref="AA3" authorId="0">
      <text>
        <r>
          <rPr>
            <sz val="10"/>
            <rFont val="Arial"/>
            <family val="2"/>
          </rPr>
          <t>Bea.: Erhebliche Preissteigerungen in 2022/2023</t>
        </r>
      </text>
    </comment>
    <comment ref="AC3" authorId="0">
      <text>
        <r>
          <rPr>
            <sz val="10"/>
            <rFont val="Arial"/>
            <family val="2"/>
          </rPr>
          <t>Annahme: Vollast, Heizkessel moduliert nicht
- auch zur Plausibilisierung der Teilnutzung</t>
        </r>
      </text>
    </comment>
    <comment ref="AE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 ref="AG3" authorId="0">
      <text>
        <r>
          <rPr>
            <sz val="10"/>
            <rFont val="Arial"/>
            <family val="2"/>
          </rPr>
          <t>Bewertungsversuch für das Gebäude / die Nutzung: 
Hemdsärmlige Anwendung der Abstufung, ohne genaue Beachtung der vorgesehenen Randbedingungen. 
Berechnung siehe z. B. https://www.dein-heizungsbauer.de/ratgeber/bauen-sanieren/energieeffizienzklasse-haus-berechnen/#c8676</t>
        </r>
      </text>
    </comment>
  </commentList>
</comments>
</file>

<file path=xl/sharedStrings.xml><?xml version="1.0" encoding="utf-8"?>
<sst xmlns="http://schemas.openxmlformats.org/spreadsheetml/2006/main" count="588" uniqueCount="385">
  <si>
    <t>Zur Beheizung städtischer Liegenschaften</t>
  </si>
  <si>
    <t>Abschätzungen, Datenbasis unvollständig</t>
  </si>
  <si>
    <t>Klimabeirat 3/2024, Hansjürgen Dreuth</t>
  </si>
  <si>
    <t>1. Verwendete Begriffe, Grundlagen, Parameter</t>
  </si>
  <si>
    <t>2. Liegenschaften – vorliegende Daten und Berechnung</t>
  </si>
  <si>
    <t>3. Übersichten</t>
  </si>
  <si>
    <t>4. Resultate</t>
  </si>
  <si>
    <t>Anleitung zur Benutzung der Tabelle</t>
  </si>
  <si>
    <r>
      <rPr>
        <sz val="10"/>
        <rFont val="Arial"/>
        <family val="2"/>
      </rPr>
      <t xml:space="preserve">In manchen Feldern befindet sich rechts oben ein kleiner roter Punkt. Dort verbirgt sich ein </t>
    </r>
    <r>
      <rPr>
        <b/>
        <sz val="10"/>
        <rFont val="Arial"/>
        <family val="2"/>
      </rPr>
      <t>Kommentar</t>
    </r>
    <r>
      <rPr>
        <sz val="10"/>
        <rFont val="Arial"/>
        <family val="2"/>
      </rPr>
      <t xml:space="preserve"> mit</t>
    </r>
  </si>
  <si>
    <t>weiteren Zusatzinformationen. Die klappen auf, wenn man mit der Maus darüberfährt</t>
  </si>
  <si>
    <r>
      <rPr>
        <sz val="10"/>
        <rFont val="Arial"/>
        <family val="2"/>
      </rPr>
      <t xml:space="preserve">Die Felder für </t>
    </r>
    <r>
      <rPr>
        <b/>
        <sz val="10"/>
        <rFont val="Arial"/>
        <family val="2"/>
      </rPr>
      <t>Parameter</t>
    </r>
    <r>
      <rPr>
        <sz val="10"/>
        <rFont val="Arial"/>
        <family val="2"/>
      </rPr>
      <t>, die zur Berechnung verwendet werden, sind hellgelb unterlegt:</t>
    </r>
  </si>
  <si>
    <t>Wenn man dort die angegebenen Werte ändert, ändern sich die Berechnungsergebnisse entsprechend</t>
  </si>
  <si>
    <r>
      <rPr>
        <b/>
        <sz val="18"/>
        <rFont val="Arial"/>
        <family val="2"/>
      </rPr>
      <t xml:space="preserve">Heizen von Gebäuden – wichtige </t>
    </r>
    <r>
      <rPr>
        <b/>
        <sz val="18"/>
        <color rgb="FF0000FF"/>
        <rFont val="Arial"/>
        <family val="2"/>
      </rPr>
      <t>Begriffe</t>
    </r>
    <r>
      <rPr>
        <b/>
        <sz val="18"/>
        <rFont val="Arial"/>
        <family val="2"/>
      </rPr>
      <t xml:space="preserve"> und Zusammenhang</t>
    </r>
  </si>
  <si>
    <t>1. Was wir wollen:</t>
  </si>
  <si>
    <r>
      <rPr>
        <b/>
        <sz val="10"/>
        <rFont val="Arial"/>
        <family val="2"/>
      </rPr>
      <t>3.</t>
    </r>
    <r>
      <rPr>
        <sz val="10"/>
        <rFont val="Arial"/>
        <family val="2"/>
      </rPr>
      <t xml:space="preserve"> Höhe der Verlustleistung ist abhängig von:</t>
    </r>
  </si>
  <si>
    <r>
      <rPr>
        <sz val="10"/>
        <rFont val="Arial"/>
        <family val="2"/>
      </rPr>
      <t xml:space="preserve">  - </t>
    </r>
    <r>
      <rPr>
        <b/>
        <sz val="10"/>
        <rFont val="Arial"/>
        <family val="2"/>
      </rPr>
      <t>Temperaturdifferenz</t>
    </r>
    <r>
      <rPr>
        <sz val="10"/>
        <rFont val="Arial"/>
        <family val="2"/>
      </rPr>
      <t xml:space="preserve"> “Temperatur innen” – “Temperatur außen”</t>
    </r>
  </si>
  <si>
    <r>
      <rPr>
        <sz val="10"/>
        <rFont val="Arial"/>
        <family val="2"/>
      </rPr>
      <t xml:space="preserve">  - </t>
    </r>
    <r>
      <rPr>
        <b/>
        <sz val="10"/>
        <color rgb="FF0000FF"/>
        <rFont val="Arial"/>
        <family val="2"/>
      </rPr>
      <t>Gebäude-Außenhülle</t>
    </r>
    <r>
      <rPr>
        <sz val="10"/>
        <rFont val="Arial"/>
        <family val="2"/>
      </rPr>
      <t>: Dämmwert und Fläche (also auch Gebäudegeometrie)</t>
    </r>
  </si>
  <si>
    <r>
      <rPr>
        <b/>
        <sz val="10"/>
        <rFont val="Arial"/>
        <family val="2"/>
      </rPr>
      <t>4.</t>
    </r>
    <r>
      <rPr>
        <sz val="10"/>
        <rFont val="Arial"/>
        <family val="2"/>
      </rPr>
      <t xml:space="preserve"> </t>
    </r>
    <r>
      <rPr>
        <b/>
        <sz val="10"/>
        <color rgb="FF0000FF"/>
        <rFont val="Arial"/>
        <family val="2"/>
      </rPr>
      <t>Energieverbrauch</t>
    </r>
    <r>
      <rPr>
        <sz val="10"/>
        <rFont val="Arial"/>
        <family val="2"/>
      </rPr>
      <t xml:space="preserve"> = </t>
    </r>
    <r>
      <rPr>
        <b/>
        <sz val="10"/>
        <color rgb="FF0000FF"/>
        <rFont val="Arial"/>
        <family val="2"/>
      </rPr>
      <t>Heizleistung</t>
    </r>
    <r>
      <rPr>
        <sz val="10"/>
        <rFont val="Arial"/>
        <family val="2"/>
      </rPr>
      <t xml:space="preserve"> * Dauer des Heizens (Einheit: </t>
    </r>
    <r>
      <rPr>
        <b/>
        <sz val="10"/>
        <color rgb="FF0000FF"/>
        <rFont val="Arial"/>
        <family val="2"/>
      </rPr>
      <t>kWh</t>
    </r>
    <r>
      <rPr>
        <sz val="10"/>
        <rFont val="Arial"/>
        <family val="2"/>
      </rPr>
      <t>)</t>
    </r>
  </si>
  <si>
    <r>
      <rPr>
        <sz val="10"/>
        <rFont val="Arial"/>
        <family val="2"/>
      </rPr>
      <t xml:space="preserve">    Dauer des Heizens = </t>
    </r>
    <r>
      <rPr>
        <b/>
        <sz val="10"/>
        <color rgb="FF0000FF"/>
        <rFont val="Arial"/>
        <family val="2"/>
      </rPr>
      <t>Nutzung</t>
    </r>
    <r>
      <rPr>
        <sz val="10"/>
        <rFont val="Arial"/>
        <family val="2"/>
      </rPr>
      <t xml:space="preserve"> (kurze Nutzung → wenig Energieverbrauch)</t>
    </r>
  </si>
  <si>
    <t xml:space="preserve">     Beispiel: 10 kW Heizleistung * 2000 Stunden = 20000 kWh Energieverbrauch</t>
  </si>
  <si>
    <r>
      <rPr>
        <b/>
        <sz val="10"/>
        <rFont val="Arial"/>
        <family val="2"/>
      </rPr>
      <t>5. Folgen des Energieverbrauchs:</t>
    </r>
    <r>
      <rPr>
        <sz val="10"/>
        <rFont val="Arial"/>
        <family val="2"/>
      </rPr>
      <t xml:space="preserve"> Emissionen, z. B. </t>
    </r>
    <r>
      <rPr>
        <b/>
        <sz val="10"/>
        <color rgb="FF0000FF"/>
        <rFont val="Arial"/>
        <family val="2"/>
      </rPr>
      <t>Kohlendioxid</t>
    </r>
    <r>
      <rPr>
        <sz val="10"/>
        <rFont val="Arial"/>
        <family val="2"/>
      </rPr>
      <t xml:space="preserve"> und </t>
    </r>
    <r>
      <rPr>
        <b/>
        <sz val="10"/>
        <color rgb="FF0000FF"/>
        <rFont val="Arial"/>
        <family val="2"/>
      </rPr>
      <t>Kosten</t>
    </r>
  </si>
  <si>
    <r>
      <rPr>
        <b/>
        <sz val="10"/>
        <rFont val="Arial"/>
        <family val="2"/>
      </rPr>
      <t xml:space="preserve">   Wichtigste Einflussfaktoren: </t>
    </r>
    <r>
      <rPr>
        <b/>
        <sz val="10"/>
        <color rgb="FF0000FF"/>
        <rFont val="Arial"/>
        <family val="2"/>
      </rPr>
      <t>Energieverbrauch</t>
    </r>
    <r>
      <rPr>
        <b/>
        <sz val="10"/>
        <rFont val="Arial"/>
        <family val="2"/>
      </rPr>
      <t xml:space="preserve"> durch Gebäude</t>
    </r>
  </si>
  <si>
    <r>
      <rPr>
        <sz val="10"/>
        <rFont val="Arial"/>
        <family val="2"/>
      </rPr>
      <t xml:space="preserve">         </t>
    </r>
    <r>
      <rPr>
        <b/>
        <sz val="10"/>
        <rFont val="Arial"/>
        <family val="2"/>
      </rPr>
      <t>Effizienz der Heizung</t>
    </r>
  </si>
  <si>
    <r>
      <rPr>
        <sz val="10"/>
        <rFont val="Arial"/>
        <family val="2"/>
      </rPr>
      <t xml:space="preserve">         </t>
    </r>
    <r>
      <rPr>
        <b/>
        <sz val="10"/>
        <rFont val="Arial"/>
        <family val="2"/>
      </rPr>
      <t>verwendeter Energieträger</t>
    </r>
  </si>
  <si>
    <t>2. Verluste müssen durch Heizung ersetzt werden.</t>
  </si>
  <si>
    <t xml:space="preserve">   (wenn Außentemperatur &lt; Innentemperatur)</t>
  </si>
  <si>
    <t>6. Emissionen und Kosten sind direkt proportional zum Energieverbrauch !</t>
  </si>
  <si>
    <t>Damit Innentemperatur nicht absinkt, muss</t>
  </si>
  <si>
    <r>
      <rPr>
        <sz val="10"/>
        <rFont val="Arial"/>
        <family val="2"/>
      </rPr>
      <t xml:space="preserve">Doppelter Energieverbrauch → doppelte </t>
    </r>
    <r>
      <rPr>
        <b/>
        <sz val="10"/>
        <color rgb="FF0000FF"/>
        <rFont val="Arial"/>
        <family val="2"/>
      </rPr>
      <t>Emissionen</t>
    </r>
    <r>
      <rPr>
        <sz val="10"/>
        <rFont val="Arial"/>
        <family val="2"/>
      </rPr>
      <t xml:space="preserve">, doppelte </t>
    </r>
    <r>
      <rPr>
        <b/>
        <sz val="10"/>
        <color rgb="FF0000FF"/>
        <rFont val="Arial"/>
        <family val="2"/>
      </rPr>
      <t>Kosten</t>
    </r>
  </si>
  <si>
    <r>
      <rPr>
        <sz val="10"/>
        <rFont val="Arial"/>
        <family val="2"/>
      </rPr>
      <t>Heiz</t>
    </r>
    <r>
      <rPr>
        <b/>
        <sz val="10"/>
        <color rgb="FF0000FF"/>
        <rFont val="Arial"/>
        <family val="2"/>
      </rPr>
      <t>leistung</t>
    </r>
    <r>
      <rPr>
        <sz val="10"/>
        <rFont val="Arial"/>
        <family val="2"/>
      </rPr>
      <t xml:space="preserve"> = Verlust(</t>
    </r>
    <r>
      <rPr>
        <b/>
        <sz val="10"/>
        <rFont val="Arial"/>
        <family val="2"/>
      </rPr>
      <t>leistung</t>
    </r>
    <r>
      <rPr>
        <sz val="10"/>
        <rFont val="Arial"/>
        <family val="2"/>
      </rPr>
      <t xml:space="preserve">) sein (Einheit: </t>
    </r>
    <r>
      <rPr>
        <b/>
        <sz val="10"/>
        <color rgb="FF0000FF"/>
        <rFont val="Arial"/>
        <family val="2"/>
      </rPr>
      <t>KW</t>
    </r>
    <r>
      <rPr>
        <sz val="10"/>
        <rFont val="Arial"/>
        <family val="2"/>
      </rPr>
      <t>)</t>
    </r>
  </si>
  <si>
    <t>Halber Energieverbrauch → halbe Emissionen, halbe Kosten</t>
  </si>
  <si>
    <t>kalt</t>
  </si>
  <si>
    <t>(z. B. -5°C)</t>
  </si>
  <si>
    <t>Verluste durch die Gebäudehülle</t>
  </si>
  <si>
    <t>Verluste durch Lüftung (bei mäßig isolierten Gebäuden</t>
  </si>
  <si>
    <t xml:space="preserve">  sind deutlich geringer als Verluste durch Gebäudehülle)</t>
  </si>
  <si>
    <t xml:space="preserve"> → werden hier nicht weiter betrachtet</t>
  </si>
  <si>
    <t>Parameter für Berechnungen</t>
  </si>
  <si>
    <t>Parameter für Energieträger:</t>
  </si>
  <si>
    <t>Vorsicht: Hier die eigenen realen Energiepreise eintragen</t>
  </si>
  <si>
    <t>Energieträger</t>
  </si>
  <si>
    <t>Energieinhalt (circa, als grober Anhaltspunkt)*</t>
  </si>
  <si>
    <t>Kosten (ca.;  
Anfang 2024)</t>
  </si>
  <si>
    <t>Emission CO2</t>
  </si>
  <si>
    <t>Bemerkungen</t>
  </si>
  <si>
    <t>Strom</t>
  </si>
  <si>
    <t>kWh (Strom)</t>
  </si>
  <si>
    <t>kWh/kWh</t>
  </si>
  <si>
    <t>€/kWh</t>
  </si>
  <si>
    <t>kg/kWh</t>
  </si>
  <si>
    <t>nach (schwankendem) “deutschem Strommix” (unterschiedliche Kraftwerkstypen)</t>
  </si>
  <si>
    <t>Heizöl</t>
  </si>
  <si>
    <t>Liter (Öl)</t>
  </si>
  <si>
    <t>kWh/kg</t>
  </si>
  <si>
    <t>Strom kostet viel Geld → direkt mit Strom heizen ist teuer</t>
  </si>
  <si>
    <t>Erdgas</t>
  </si>
  <si>
    <t>kWh (Gas)</t>
  </si>
  <si>
    <t>Nicht berücksichtigt: Methan-Emission (30x schädlicher als CO2)</t>
  </si>
  <si>
    <t>Flüssiggas</t>
  </si>
  <si>
    <t>Liter (Fl.gas)</t>
  </si>
  <si>
    <t>kWh/l</t>
  </si>
  <si>
    <t>Holzpellets</t>
  </si>
  <si>
    <t>kg (Pellets)</t>
  </si>
  <si>
    <t>Annahme hier. (?*) aktuell ca. 430 € /t</t>
  </si>
  <si>
    <t>(*) Bemerkung: Auf “Feinheiten” wie den Unterschied von “Heizwert” und Brennwert etc. gehen wir hier nicht ein.</t>
  </si>
  <si>
    <t>(?*) “Realistischer” Wert kontrovers diskutiert: Ist nachwachsender Rohstoff, aber Verwendung: Erstmal verbrennen, Nachwachsen später.</t>
  </si>
  <si>
    <t>Pelletanbieter MANN Naturenergie GmbH &amp; Co KG gibt gerechnet für sein Werk an: Ca. 10,68 kg CO2 pro Tonne (also pro 4700 kWh, das wären  0,0023 kg/kWh !</t>
  </si>
  <si>
    <r>
      <rPr>
        <sz val="10"/>
        <rFont val="Arial"/>
        <family val="2"/>
      </rPr>
      <t xml:space="preserve">    </t>
    </r>
    <r>
      <rPr>
        <sz val="12"/>
        <rFont val="Arial"/>
        <family val="2"/>
      </rPr>
      <t>Das beinhaltet aber nur CO2 durch Logistik und sonstige Vorgänge</t>
    </r>
  </si>
  <si>
    <t>Bayerisches Landesamt für Umwelt (LfU), Tabelle zur Emissionsberechnung 2021: 0,026 kg/kWh</t>
  </si>
  <si>
    <t>Parameter für Wärmepumpen:</t>
  </si>
  <si>
    <t>Jahresarbeitszahl:</t>
  </si>
  <si>
    <t xml:space="preserve">Vorsicht: Die meist kommunizierte Werte “A7/W35“ für “wenn man ein sehr gut </t>
  </si>
  <si>
    <t>gedämmtes Gebäude hat, eine Außentemperatur von 7°C und eine</t>
  </si>
  <si>
    <t>Vorlauftemperatur von 35°C” sind für ungünstigere Konstellationen nicht erreichbar !</t>
  </si>
  <si>
    <t>3 scheint als Annahme einigermaßen angemessen.</t>
  </si>
  <si>
    <t>Aus dem Abschlussbericht</t>
  </si>
  <si>
    <t>Download</t>
  </si>
  <si>
    <t>WÄRMEPUMPEN IN BESTANDSGEBÄUDEN- ERGEBNISSE AUS DEM</t>
  </si>
  <si>
    <t>FORSCHUNGSPROJEKT „WP SMART IM BESTAND“ (Stand 23.7.2020)</t>
  </si>
  <si>
    <t>des Fraunhofer-Instituts für solare Energiesysteme ISE:</t>
  </si>
  <si>
    <t>“Für den Zeitraum Juli 2018 bis Juni 2019 konnten 29 Außenluft-Wärmepumpen, die</t>
  </si>
  <si>
    <t>zur Raumheizung und Trinkwassererwärmung eingesetzt wurden, analysiert werden.</t>
  </si>
  <si>
    <t>Diese Anlagen erreichten ohne Ausreißer (4,1 und 4,6) Jahresarbeitszahlen (JAZ) von</t>
  </si>
  <si>
    <t>2,5 bis 3,8 bei einem Mittelwert von 3,1”</t>
  </si>
  <si>
    <t>-&gt; Emission CO2 Wärmepumpe bei Jahresarbeitszahl 3,1 und dt. Strommix:</t>
  </si>
  <si>
    <t>aber: Im Winter ist die CO2-Emission aus dem dt. Strommix höher als im Sommer (z. B. kaum Strom aus PV) – eigentlich zeitabh. „Strommix“</t>
  </si>
  <si>
    <t>siehe z. B.: „Benötigt man zeitlich aufgelöste Stromprimärenergiefaktoren in der Energieeinsparverordnung?“</t>
  </si>
  <si>
    <t>-&gt; Verbrauchskosten Wärmepumpe = Kosten für Strom / Jahresarbeitszahl:</t>
  </si>
  <si>
    <t>(wenn man normalen Stromtarif bezahlt)</t>
  </si>
  <si>
    <t>Bemerkung CO2-Äquivalent</t>
  </si>
  <si>
    <t>Für Details:</t>
  </si>
  <si>
    <t>https://de.wikipedia.org/wiki/Treibhauspotential</t>
  </si>
  <si>
    <r>
      <rPr>
        <sz val="12"/>
        <rFont val="Arial"/>
        <family val="2"/>
      </rPr>
      <t xml:space="preserve">Relative Zahl im Vergleich zu CO2 zum Treibhauspotential verschiedener Gase: </t>
    </r>
    <r>
      <rPr>
        <b/>
        <sz val="12"/>
        <rFont val="Arial"/>
        <family val="2"/>
      </rPr>
      <t>GWP</t>
    </r>
    <r>
      <rPr>
        <sz val="12"/>
        <rFont val="Arial"/>
        <family val="2"/>
      </rPr>
      <t xml:space="preserve"> („Global Warming Potential“ = „relatives Treibhauspotential“)</t>
    </r>
  </si>
  <si>
    <t>Bea.: Beitrag hängt auch ab von Verweildauer der Gase in der Atmosphäre</t>
  </si>
  <si>
    <t>D. h. die Zahlen beziehen sich auf den Effekt innerhalb eines bestimmten Zeitraums (oft auf 100 Jahre bezogen)</t>
  </si>
  <si>
    <t>Wenn man die nächsten 20 Jahre als entscheidend ansieht, sollte man die Werte für 20 Jahre zumindest auch betrachten</t>
  </si>
  <si>
    <t>Auszug aus Wikipedia-Artikel</t>
  </si>
  <si>
    <t>GWP</t>
  </si>
  <si>
    <t>gem. IPCC</t>
  </si>
  <si>
    <t>von EU verwendet</t>
  </si>
  <si>
    <t>bez. auf 20 Jahre</t>
  </si>
  <si>
    <t>bez. auf 100 Jahre</t>
  </si>
  <si>
    <t>CO2</t>
  </si>
  <si>
    <t>Methan</t>
  </si>
  <si>
    <t>Kältemittel R-134a</t>
  </si>
  <si>
    <t>IPCC: „Intergovernmental Panel on Climate Change</t>
  </si>
  <si>
    <t>Daten zur Stadt Braunfels allgemein:</t>
  </si>
  <si>
    <t>(auch zur Einschätzung “Was braucht die Kommune, was die Anderen”)</t>
  </si>
  <si>
    <r>
      <rPr>
        <sz val="12"/>
        <rFont val="Arial"/>
        <family val="2"/>
      </rPr>
      <t>entnommen aus dem Energiesteckbrief des Lahn-Dill-Kreises für Braunfels</t>
    </r>
    <r>
      <rPr>
        <b/>
        <sz val="12"/>
        <rFont val="Arial"/>
        <family val="2"/>
      </rPr>
      <t xml:space="preserve"> </t>
    </r>
    <r>
      <rPr>
        <b/>
        <sz val="12"/>
        <color rgb="FFC9211E"/>
        <rFont val="Arial"/>
        <family val="2"/>
      </rPr>
      <t xml:space="preserve">(Stand: 2013 ! Taugt heute nur zur Beurteilung der relativen Verhältnisse) </t>
    </r>
  </si>
  <si>
    <t>Einwohner:</t>
  </si>
  <si>
    <t>Wohnfläche:</t>
  </si>
  <si>
    <t>m²</t>
  </si>
  <si>
    <t>Wärmever-brauch [MWh/a]</t>
  </si>
  <si>
    <t>prozen-tual</t>
  </si>
  <si>
    <t>Stromver-brauch [MWh/a]</t>
  </si>
  <si>
    <t>priv. Haushalte</t>
  </si>
  <si>
    <t>Industrie &amp; Gewerbe</t>
  </si>
  <si>
    <t>Kommune</t>
  </si>
  <si>
    <t>-&gt; Man muss sich unbedingt auch um priv. Haushalte, Industrie &amp; Gewerbe kümmern !!</t>
  </si>
  <si>
    <t>Gesamt</t>
  </si>
  <si>
    <t>(Hr. Drosten sprach von ca. 4% kommunalem Anteil)</t>
  </si>
  <si>
    <t>Beispiel: indkraft</t>
  </si>
  <si>
    <t>4-MW-Anlage</t>
  </si>
  <si>
    <t>Jährlicher Ertrag wie durchschnittlich 15%</t>
  </si>
  <si>
    <t>MW</t>
  </si>
  <si>
    <t>MWh</t>
  </si>
  <si>
    <t>KWh / a</t>
  </si>
  <si>
    <t>Verbrauch Braunfels</t>
  </si>
  <si>
    <t>MWh / a</t>
  </si>
  <si>
    <t>man bräuchte also rechnerisch 11,5 Windkraftanlagen</t>
  </si>
  <si>
    <t>Daten der Liegenschaften</t>
  </si>
  <si>
    <t>fehlende Informationen</t>
  </si>
  <si>
    <t>Nutzungsstunden sollen die wirkliche Nutzung repräsentieren, nicht die Kesselbetriebsstunden</t>
  </si>
  <si>
    <t>Hilfs-Spalten für Reihenfolge</t>
  </si>
  <si>
    <t>Aufstellung Heizungsanlagen</t>
  </si>
  <si>
    <t>Daten 13.04.2023
C. Watz</t>
  </si>
  <si>
    <t>Update 20.6.23 
N. Franz</t>
  </si>
  <si>
    <t>Bei Gebäuden mit niedrigem Nutzungsgrad kann die Effizienz des Gebäudes nicht einfach berechnet werden (in Klassen A+...H), einfache Rechnung führt zu verfälschten / geschönten Werten</t>
  </si>
  <si>
    <t>Indikatoren – nicht exakt</t>
  </si>
  <si>
    <t>Rang CO2</t>
  </si>
  <si>
    <t>Rang Kosten</t>
  </si>
  <si>
    <t>Rang Spez. Ver-brauch</t>
  </si>
  <si>
    <t>Bezeichnung für Übersichten</t>
  </si>
  <si>
    <t xml:space="preserve">Liegenschaft </t>
  </si>
  <si>
    <t>Stadteil</t>
  </si>
  <si>
    <t>Baujahr Heizung</t>
  </si>
  <si>
    <t xml:space="preserve">Brenn-stoff </t>
  </si>
  <si>
    <t>Nenn-wärme- leistung [KW]</t>
  </si>
  <si>
    <t>Netto-Raum-fläche [m²]</t>
  </si>
  <si>
    <t>Nutzungszeiten (blau, wenn Teilnutzung)</t>
  </si>
  <si>
    <t xml:space="preserve">Bemerkung </t>
  </si>
  <si>
    <t>Jahres-verbrauch 2018 [kWh o. Liter o. kg]</t>
  </si>
  <si>
    <t>Jahres-verbrauch 2019 [kWh o. Liter o. kg]</t>
  </si>
  <si>
    <t>Jahres-verbrauch 2020 [kWh o. Liter o. kg]</t>
  </si>
  <si>
    <t>Jahres-verbrauch 2021 [kWh o. Liter o. kg]</t>
  </si>
  <si>
    <t>Jahres-verbrauch 2022 [kWh o. Liter o. kg]</t>
  </si>
  <si>
    <r>
      <rPr>
        <b/>
        <sz val="9"/>
        <rFont val="Arial"/>
        <family val="2"/>
      </rPr>
      <t xml:space="preserve">Jahres-verbrauch 2018 in </t>
    </r>
    <r>
      <rPr>
        <b/>
        <sz val="9"/>
        <rFont val="Calibri"/>
        <family val="2"/>
      </rPr>
      <t>€</t>
    </r>
  </si>
  <si>
    <r>
      <rPr>
        <b/>
        <sz val="9"/>
        <rFont val="Arial"/>
        <family val="2"/>
      </rPr>
      <t xml:space="preserve">Jahres-verbrauch 2019 in </t>
    </r>
    <r>
      <rPr>
        <b/>
        <sz val="9"/>
        <rFont val="Calibri"/>
        <family val="2"/>
      </rPr>
      <t>€</t>
    </r>
  </si>
  <si>
    <r>
      <rPr>
        <b/>
        <sz val="9"/>
        <rFont val="Arial"/>
        <family val="2"/>
      </rPr>
      <t xml:space="preserve">Jahres-verbrauch 2020 in </t>
    </r>
    <r>
      <rPr>
        <b/>
        <sz val="9"/>
        <rFont val="Calibri"/>
        <family val="2"/>
      </rPr>
      <t>€</t>
    </r>
  </si>
  <si>
    <r>
      <rPr>
        <b/>
        <sz val="9"/>
        <rFont val="Arial"/>
        <family val="2"/>
      </rPr>
      <t xml:space="preserve">Jahres-verbrauch 2021 in </t>
    </r>
    <r>
      <rPr>
        <b/>
        <sz val="9"/>
        <rFont val="Calibri"/>
        <family val="2"/>
      </rPr>
      <t>€</t>
    </r>
  </si>
  <si>
    <r>
      <rPr>
        <b/>
        <sz val="9"/>
        <rFont val="Arial"/>
        <family val="2"/>
      </rPr>
      <t xml:space="preserve">Jahres-verbrauch 2022 in </t>
    </r>
    <r>
      <rPr>
        <b/>
        <sz val="9"/>
        <rFont val="Calibri"/>
        <family val="2"/>
      </rPr>
      <t>€</t>
    </r>
  </si>
  <si>
    <t>Einheit für Verbrauch</t>
  </si>
  <si>
    <t xml:space="preserve"> Nutzungs-anteil, geschätzt</t>
  </si>
  <si>
    <t>Typischer Jahres-verbrauch
[…]</t>
  </si>
  <si>
    <t>Typ. Jahres-verbrauch
[kWh]</t>
  </si>
  <si>
    <t>Typ. Kosten pro Jahr zukünftig</t>
  </si>
  <si>
    <t>CO2-Emission [kg]</t>
  </si>
  <si>
    <t xml:space="preserve">Schätzung
Betriebs-stunden Heizung </t>
  </si>
  <si>
    <t>Spez. Ver-brauch [kWh/m²]</t>
  </si>
  <si>
    <t>Ener-gie-klas-se</t>
  </si>
  <si>
    <t>Spez. Ver-brauch [kWh/m²] skaliert m. Nutzung</t>
  </si>
  <si>
    <t>Energie-klasse inkl. Nutzung</t>
  </si>
  <si>
    <t>Fragen
und Widersprüche</t>
  </si>
  <si>
    <t>Kindergarten (Al)</t>
  </si>
  <si>
    <t xml:space="preserve">Kindergarten </t>
  </si>
  <si>
    <t>Altenkirchen</t>
  </si>
  <si>
    <t xml:space="preserve">tgl. 07:00 - 13:00 Uhr </t>
  </si>
  <si>
    <t>Erweiterung 2018</t>
  </si>
  <si>
    <t>Wohnung Lange Str. 15 (Al)</t>
  </si>
  <si>
    <t>Wohnung Lange Str. 15</t>
  </si>
  <si>
    <t>Schätzung Heizung-Betriebsstunden unglaubwürdig</t>
  </si>
  <si>
    <t>Mehrzweckhalle (Al)</t>
  </si>
  <si>
    <t>Mehrzweckhalle</t>
  </si>
  <si>
    <t>Öl</t>
  </si>
  <si>
    <t xml:space="preserve">ca. 14% im Schnitt die letzten 5 Jahre, durchschnittl. 240 Nutzungsstunden p. a. </t>
  </si>
  <si>
    <t>Konzeption liegt vor und wird derzeit in den Gremien diskutiert.</t>
  </si>
  <si>
    <t>Ehem. Verwaltung Vereinsgebäude mit Feuerwehr (Bo)</t>
  </si>
  <si>
    <t xml:space="preserve">Ehem. Verwaltung Vereinsgebäude mit Feuerwehr </t>
  </si>
  <si>
    <t>Bonbaden</t>
  </si>
  <si>
    <t xml:space="preserve">nicht messbar </t>
  </si>
  <si>
    <t>sehr hohe Schätzung Betriebsstunden Heizung, wird nicht ausgeschaltet ?</t>
  </si>
  <si>
    <t>Kindergarten (Bo)</t>
  </si>
  <si>
    <t xml:space="preserve">tgl. 07:00 - 15:30 Uhr </t>
  </si>
  <si>
    <t>moduliert Heizung ?</t>
  </si>
  <si>
    <t>Mehrzweckhalle (Bo)</t>
  </si>
  <si>
    <t xml:space="preserve">Mehrzweckhalle </t>
  </si>
  <si>
    <t xml:space="preserve">Erdgas </t>
  </si>
  <si>
    <t xml:space="preserve">16% im Schnitt die letzten 5 Jahre,  durchschnittl. 370 Nutzungsstunden p. a. </t>
  </si>
  <si>
    <t>derzeit als Flüchtlingsunterkunft dauer genutzt</t>
  </si>
  <si>
    <r>
      <rPr>
        <sz val="11"/>
        <color rgb="FF808080"/>
        <rFont val="Calibri"/>
        <family val="2"/>
      </rPr>
      <t>Obdachlosenunterkunft Attenbach</t>
    </r>
    <r>
      <rPr>
        <sz val="10"/>
        <color rgb="FF808080"/>
        <rFont val="Arial"/>
        <family val="2"/>
      </rPr>
      <t xml:space="preserve"> (Br)</t>
    </r>
  </si>
  <si>
    <t xml:space="preserve">Obdachlosenunterkunft Attenbach </t>
  </si>
  <si>
    <t xml:space="preserve">Braunfels </t>
  </si>
  <si>
    <t>Ölofen</t>
  </si>
  <si>
    <t>muss geklärt werden ob die Wohnung mit Ölofen so weiter betrieben werden darf</t>
  </si>
  <si>
    <t xml:space="preserve">keine Werte </t>
  </si>
  <si>
    <t>Bauhof Werkstatt (Br)</t>
  </si>
  <si>
    <t xml:space="preserve">Bauhof Werkstatt </t>
  </si>
  <si>
    <t xml:space="preserve">tgl. 07:00 - 16:00 Uhr </t>
  </si>
  <si>
    <t>Bauhof Büro (Br)</t>
  </si>
  <si>
    <t xml:space="preserve">Bauhof Büro </t>
  </si>
  <si>
    <t>Ist Schätzung Heizung-Betriebsstunden richtig ?</t>
  </si>
  <si>
    <t>Haus des Gastes, Seminargebäude (Br)</t>
  </si>
  <si>
    <t>Haus des Gastes m. Seminargebäude Gesamtanlage Kessel 1+2</t>
  </si>
  <si>
    <t>1991/
1993</t>
  </si>
  <si>
    <t>Haus des Gastes kl. Saal (Br)</t>
  </si>
  <si>
    <t>Haus des Gastes                     kleiner Saal</t>
  </si>
  <si>
    <t xml:space="preserve">430 Std./a                                                           im Schnitt die letzten 5 Jahre </t>
  </si>
  <si>
    <t>s.o.</t>
  </si>
  <si>
    <t>Ist der kl. Saal wirklich Klasse C, also vergleichsweise gut ??? Sind Zahlen falsch ?</t>
  </si>
  <si>
    <t>Kita Gartenstrasse (Br)</t>
  </si>
  <si>
    <t xml:space="preserve">Kita Gartenstrasse </t>
  </si>
  <si>
    <t>Betreiber ist die kath. Kirche, Verbrauchswerte angefordert per E-Mail 22.6.23</t>
  </si>
  <si>
    <t>Kita Schlossmäuse Altbau (Br)</t>
  </si>
  <si>
    <t>Kita Schlossmäuse Altbau</t>
  </si>
  <si>
    <t xml:space="preserve">tgl. 07:00 - 17:00 Uhr </t>
  </si>
  <si>
    <t>Ist hier die WP und Gaskessel gleichermaßen in Betrieb ?</t>
  </si>
  <si>
    <t>Kita Schlossmäuse Neubau (Br)</t>
  </si>
  <si>
    <t>Kita Schlossmäuse 
Neubau</t>
  </si>
  <si>
    <t xml:space="preserve">Luft-Wärme-Pumpe </t>
  </si>
  <si>
    <t>Stimmen die Zahlen ?
Unterscheidung: Energiebedarf thermisch / elektrisch fehlt. Wie ist Jahresnutzungszahl der WP ?</t>
  </si>
  <si>
    <t>Wohnung 1 (Br)</t>
  </si>
  <si>
    <t>Wohnung 1</t>
  </si>
  <si>
    <t>tgl.</t>
  </si>
  <si>
    <t>Wohnung 2 (Br)</t>
  </si>
  <si>
    <t>Wohnung 2</t>
  </si>
  <si>
    <t>Kurparktreff (Br)</t>
  </si>
  <si>
    <t>Kurparktreff</t>
  </si>
  <si>
    <t>durchschnittl. 300 Std. / a</t>
  </si>
  <si>
    <t>Schwimmbad (Br)</t>
  </si>
  <si>
    <t>Schwimmbad</t>
  </si>
  <si>
    <t>Mitte Mai - Mitte September</t>
  </si>
  <si>
    <t>Sanierungsfahrplan soll erstellt werden und in diesem Zuge wird die Heizung betrachtet</t>
  </si>
  <si>
    <t>Anteile Gebäudeheizung,  Wasserheizung ? Muss separat bewertet werden. Wann wird die Heizung genutzt (Sommer ?)</t>
  </si>
  <si>
    <t>Sportanlagen Wohnhaus (Br)</t>
  </si>
  <si>
    <t xml:space="preserve">Sportanlagen linker Kessel  Wohnhaus </t>
  </si>
  <si>
    <t>tägl.</t>
  </si>
  <si>
    <t>Verbrauch liegt nicht vor, wurde angefordert am 23.06.2023</t>
  </si>
  <si>
    <t>Abrechnung über Mieter</t>
  </si>
  <si>
    <t>Sportanlagen Umkleide FSV (Br)</t>
  </si>
  <si>
    <t>Sportanlagen rechter Kessel Umkleide FSV</t>
  </si>
  <si>
    <t>Feb - November nach Bedarf</t>
  </si>
  <si>
    <t>ehem. Sparkassengebäude (Br)</t>
  </si>
  <si>
    <t>ehem. Sparkassengebäude</t>
  </si>
  <si>
    <t>Leerstand</t>
  </si>
  <si>
    <t>wird zusammen mit HdG betrachtet</t>
  </si>
  <si>
    <t>liegt nicht vor</t>
  </si>
  <si>
    <t>Stadtmuseum (Br)</t>
  </si>
  <si>
    <t>Stadtmuseum</t>
  </si>
  <si>
    <t>variabel nach Bedarf</t>
  </si>
  <si>
    <t xml:space="preserve">es gab vermehrt Ausfälle der Gastherme. Sie wird bislang immer wieder repariert. Aus diesem Grund wurde eine Konzeption erstellt die in kürze in die Gremien zur Diskussion eingebracht wird. </t>
  </si>
  <si>
    <t>wie siehts her mit der Teilnutzung aus ?? Wird Heizung nicht ausgeschaltet ?</t>
  </si>
  <si>
    <t>Stadtverwaltung  m. Feuerwehr (Br)</t>
  </si>
  <si>
    <t>Stadtverwaltung  m.  Feuerwehr linker Kessel + rechter Kessel</t>
  </si>
  <si>
    <t>Stadtverwaltung werktags von 6:00 - 20:00 Uhr, Feuerwehr je nach Bedarf</t>
  </si>
  <si>
    <t>Summen für beide Kessel
- der 2. Kessel schaltet sich dazu wenn die Leistung des 1. Kessel nicht ausreicht</t>
  </si>
  <si>
    <t>Dorfgemeinschaftshaus (Ne)</t>
  </si>
  <si>
    <t xml:space="preserve">Dorfgemeinschafts-haus </t>
  </si>
  <si>
    <t xml:space="preserve">Neukirchen </t>
  </si>
  <si>
    <t>bis 2020 rd. 130 Std/a; ab 2013 werktags von 7:00 - 15:00 Uhr</t>
  </si>
  <si>
    <t>seit 2021 als Kita genutzt durch die Gemeinde Schöffengrund daher höherer Verbrauch</t>
  </si>
  <si>
    <t>Feuerwehrgerätehaus (Ne)</t>
  </si>
  <si>
    <t xml:space="preserve">Feuerwehrgerätehaus </t>
  </si>
  <si>
    <t>Gymnastikhalle (Ne)</t>
  </si>
  <si>
    <t>Gymnastikhalle</t>
  </si>
  <si>
    <t xml:space="preserve">23%  im Schnitt die letzten 5 Jahre, durchschnittl. rd. 550 Nutzungsstunden p. a. </t>
  </si>
  <si>
    <t xml:space="preserve">alte Heizungsanlage wurde ausgebaut </t>
  </si>
  <si>
    <t>Feuerwehrgerätehaus (Ph)</t>
  </si>
  <si>
    <t xml:space="preserve">Philippstein </t>
  </si>
  <si>
    <t>Es wird gerade an einem Gesamtkonzept gearbeitet welches auch die Heizung mit betrachtet</t>
  </si>
  <si>
    <t>ob hier die Annahmen stimmen ?</t>
  </si>
  <si>
    <t>Kindergarten (Ph)</t>
  </si>
  <si>
    <t>werktags 7:00 - 13:00 Uhr</t>
  </si>
  <si>
    <t>Betreiber ev. Kirchengemeinde, Verbrauchswerte per E-Mail angefordert am 23.06.2023</t>
  </si>
  <si>
    <t xml:space="preserve">Abrechnung über ev. Kirchengemeinde </t>
  </si>
  <si>
    <t>Mehrzweckhalle (Ph)</t>
  </si>
  <si>
    <t xml:space="preserve">43% im Schnitt die letzten 5 Jahre, durchschnittl. rd. 680 Nutzungsstunden p. a. </t>
  </si>
  <si>
    <t>Mehrzweckhalle, Vereinsraum (Ph)</t>
  </si>
  <si>
    <t>Mehrzweckhalle Vereinsraum</t>
  </si>
  <si>
    <t>bei MZH enthalten</t>
  </si>
  <si>
    <t>problematische Nutzung ?</t>
  </si>
  <si>
    <t>Alte Schule m. Wohnungen (Ti)</t>
  </si>
  <si>
    <t>Alte Schule m. Wohnungen</t>
  </si>
  <si>
    <t xml:space="preserve">Tiefenbach </t>
  </si>
  <si>
    <t xml:space="preserve">Pellet </t>
  </si>
  <si>
    <t>Ist das wirklich so gut ? Ist die volle „Netto-Raumfläche“ beheizt ?</t>
  </si>
  <si>
    <t>MZH (Ti)</t>
  </si>
  <si>
    <t xml:space="preserve">MZH, </t>
  </si>
  <si>
    <t>24% im Schnitt die letzten 5 Jahre ; durchschnittl. rd. 300 Nutzungsstd. p.a.</t>
  </si>
  <si>
    <t>Öl wird über den LDK abgerechnet da ein gemeinsamer Heizöltank mit Schule</t>
  </si>
  <si>
    <t>Stimmen die Annahmen ?</t>
  </si>
  <si>
    <t>Kindergarten (Ti)</t>
  </si>
  <si>
    <t>Siehe MZH</t>
  </si>
  <si>
    <t xml:space="preserve">tgl. 07:00-15:00 Uhr </t>
  </si>
  <si>
    <t>in Verbrauch MZH enthalten</t>
  </si>
  <si>
    <t>Was genau heißt „Siehe MZH“ ?</t>
  </si>
  <si>
    <t>Feuerwehr (Ti)</t>
  </si>
  <si>
    <t>Feuerwehr</t>
  </si>
  <si>
    <t>nach Bedarf</t>
  </si>
  <si>
    <t xml:space="preserve">Summe Flächen: </t>
  </si>
  <si>
    <t xml:space="preserve">Jahressummen: </t>
  </si>
  <si>
    <t>Trauerhallen der Stadtteile werden über Konvektorheizungen mit Strom beheizt</t>
  </si>
  <si>
    <t xml:space="preserve">Backhäuser werden nicht beheizt, nur über Frostwächter frostfrei gehalten. </t>
  </si>
  <si>
    <t xml:space="preserve">Burggebäude Philippstein wird über Frostwächter frostfrei gehalten. </t>
  </si>
  <si>
    <t>Mehrteilige Anlagen werden zusammengefasst und nur das Gesamtergebnis in der Tabelle geführt</t>
  </si>
  <si>
    <t>Zusammengefasste Zeilen können nicht sortiert werden</t>
  </si>
  <si>
    <t xml:space="preserve">Wird neu gebaut. Geplante Energieversorgung:                                            PV Anlage mit Pufferspeicher, Infrarotheizung, dezentrale Warmwassererwärmung über Durchlauferhitzer </t>
  </si>
  <si>
    <t xml:space="preserve">nicht mehr relevant da Abriss </t>
  </si>
  <si>
    <t>Haus des Gastes m. Seminargebäude Kessel 1</t>
  </si>
  <si>
    <t xml:space="preserve">370 Std. /a                                                          im Schnitt die letzten 5 Jahre </t>
  </si>
  <si>
    <t>Haus des Gastes m. Seminargebäude Kessel 2</t>
  </si>
  <si>
    <t xml:space="preserve">Seminargebäude ca.                       545 Std. /a                          </t>
  </si>
  <si>
    <t xml:space="preserve">Stadtverwaltung  m.  Feuerwehr                                  linker Kessel </t>
  </si>
  <si>
    <t xml:space="preserve">Stadtverwaltung                rechter Kessel </t>
  </si>
  <si>
    <t>der 2. Kessel schaltet sich dazu wenn die Leistung des 1. Kessel nicht ausreicht</t>
  </si>
  <si>
    <t>s.o</t>
  </si>
  <si>
    <r>
      <rPr>
        <b/>
        <sz val="14"/>
        <rFont val="Arial"/>
        <family val="2"/>
      </rPr>
      <t xml:space="preserve">Auswertungen </t>
    </r>
    <r>
      <rPr>
        <b/>
        <sz val="14"/>
        <color rgb="FFDC143C"/>
        <rFont val="Arial"/>
        <family val="2"/>
      </rPr>
      <t>(nicht vollständig, ungenau)</t>
    </r>
  </si>
  <si>
    <t>1. Was wir wollen</t>
  </si>
  <si>
    <t>(Vorsicht: Nicht alle Gebäude erfasst)</t>
  </si>
  <si>
    <t>Besonders relevant:</t>
  </si>
  <si>
    <t>Stadtverwaltung mit Feuerwehr</t>
  </si>
  <si>
    <t>Haus des Gastes, Seminargebäude</t>
  </si>
  <si>
    <t>MHZ Tiefenbach</t>
  </si>
  <si>
    <t>Beurteilung der Gebäude</t>
  </si>
  <si>
    <t>(Vorsicht: Nicht genau, Einfluss der Nutzung nicht klar,</t>
  </si>
  <si>
    <t xml:space="preserve"> z. T. Nutzfläche nicht bekannt (!))</t>
  </si>
  <si>
    <t>Besonders schlecht:</t>
  </si>
  <si>
    <t>Bauhof, Werkstatt (Br)</t>
  </si>
  <si>
    <t>MZH Tiefenbach</t>
  </si>
  <si>
    <t>Vorläufiger Plot – noch kaum aussagekräftig</t>
  </si>
  <si>
    <t>Erste Resultate und Auffälligkeiten</t>
  </si>
  <si>
    <t>Priorisierung:</t>
  </si>
  <si>
    <t>1. Nach CO2-Emission – das entspricht oft auch den direkten Kosten</t>
  </si>
  <si>
    <t>2. Nicht direkt danach priorisieren, welches Gebäude „am schlechtesten“ ist (wenn das Gebäude wenig genutzt wird, ist das nicht so relevant)</t>
  </si>
  <si>
    <r>
      <rPr>
        <sz val="10"/>
        <rFont val="Arial"/>
        <family val="2"/>
      </rPr>
      <t>3. Praktisch so vorgehen, dass am Gebäude etwas gemacht wird, wenn es nach 1. relevant ist, und Sanierung sowieso ansteht. Dann Sparmaßnahmen</t>
    </r>
    <r>
      <rPr>
        <b/>
        <sz val="10"/>
        <rFont val="Arial"/>
        <family val="2"/>
      </rPr>
      <t xml:space="preserve"> richtig </t>
    </r>
    <r>
      <rPr>
        <sz val="10"/>
        <rFont val="Arial"/>
        <family val="2"/>
      </rPr>
      <t>!</t>
    </r>
  </si>
  <si>
    <t>Einhalten der “logischen Reihenfolge” bei Sanierung von Gebäuden und deren Heizungen</t>
  </si>
  <si>
    <t>1. Analyse des Ist-Zustandes</t>
  </si>
  <si>
    <t>2. Betrachtung des Gebäudes und möglicher Effizienzverbesserung (Isolierung !), Versuchen, den Energiebedarf zu senken</t>
  </si>
  <si>
    <t>3. Erst dann: Sehen, wie man den (gesenkten) Energiebedarf deckt, und Betrachtung möglicher Heiz-Optionen</t>
  </si>
  <si>
    <t>Übersicht über die relevantesten Gebäude – wo lohnt sich „Hinssehen“ am meisten ?</t>
  </si>
  <si>
    <t>Kriterium CO2</t>
  </si>
  <si>
    <r>
      <rPr>
        <b/>
        <sz val="16"/>
        <rFont val="Arial"/>
        <family val="2"/>
      </rPr>
      <t>Kriterium</t>
    </r>
    <r>
      <rPr>
        <b/>
        <sz val="16"/>
        <rFont val="Arial"/>
        <family val="2"/>
      </rPr>
      <t xml:space="preserve"> Kosten</t>
    </r>
  </si>
  <si>
    <r>
      <rPr>
        <b/>
        <sz val="16"/>
        <rFont val="Arial"/>
        <family val="2"/>
      </rPr>
      <t xml:space="preserve">Kriterium </t>
    </r>
    <r>
      <rPr>
        <b/>
        <sz val="16"/>
        <rFont val="Arial"/>
        <family val="2"/>
      </rPr>
      <t>Gebäude / Nutzung</t>
    </r>
  </si>
  <si>
    <t>Alles mit mehr als 250 kWh/m² wäre Klasse H !</t>
  </si>
  <si>
    <t>x</t>
  </si>
  <si>
    <t>&gt; 700 kWh/a (??)</t>
  </si>
  <si>
    <t>&gt; 500 kWh/a</t>
  </si>
  <si>
    <t>&gt; 300 kWh/a</t>
  </si>
  <si>
    <t>&gt; 300 kWh/a; 3848 h berechnete Heizungsnutzung / a</t>
  </si>
  <si>
    <t>Hinweise zu einzelnen Gebäuden</t>
  </si>
  <si>
    <t>Siehe Spalte „Fragen und Widersprüche“ zu weiterem Klärungsbedarf</t>
  </si>
  <si>
    <t>Manche Heizungen (mit Verbrennung)  haben viel zu lange berechnete Betriebszeiten. Was ist hier los ? Laufen die durch ? Stimmen zugrunde gelegte Zahlen (z. B. Flächen) nicht ?</t>
  </si>
  <si>
    <t>Um die 1800 Stunden Vollast-Betrieb pro Jahr gelten bei permanent genutzten Gebäuden als “gut / normal”. Dann ist die Heizung richtig dimensioniert, d. h. sie läuft lange genug am Stück ohne zu viel zu “takten”.</t>
  </si>
  <si>
    <t xml:space="preserve">Bei kurzen Betriebszeiten ist die Heizung in der Regel überdimensioniert. Bei zu langen Betriebszeiten könnte sie unterdimensioniert sein, oder es liegt ein anderes Problem vor. Bsp.: Ehem. Verwaltung Vereinsgebäude mit Feuerwehr (Bo) </t>
  </si>
  <si>
    <r>
      <rPr>
        <sz val="12"/>
        <rFont val="Arial"/>
        <family val="2"/>
      </rPr>
      <t xml:space="preserve">Einige Gebäuden haben Betriebsstunden von </t>
    </r>
    <r>
      <rPr>
        <b/>
        <sz val="12"/>
        <rFont val="Arial"/>
        <family val="2"/>
      </rPr>
      <t>(</t>
    </r>
    <r>
      <rPr>
        <sz val="12"/>
        <rFont val="Arial"/>
        <family val="2"/>
      </rPr>
      <t>teils erheblich</t>
    </r>
    <r>
      <rPr>
        <b/>
        <sz val="12"/>
        <rFont val="Arial"/>
        <family val="2"/>
      </rPr>
      <t>)</t>
    </r>
    <r>
      <rPr>
        <sz val="12"/>
        <rFont val="Arial"/>
        <family val="2"/>
      </rPr>
      <t xml:space="preserve"> weniger als 1000 Stunden. Das sind oft Gebäude, die nicht permanent genutzt werden. </t>
    </r>
  </si>
  <si>
    <t>Luft-Wasser-Wärmepumpe ist besser als fossile Heizungen, aber keineswegs THG-neutral – Wärmepumpen alleine reichen nicht zur Lösung des Problems</t>
  </si>
  <si>
    <t>Nutzung(gsverhalten)</t>
  </si>
  <si>
    <t>Die Details der Nutzung eines Gebäudes können (als Daumenregel) bis zu 30 % der Verbrauchs bestimmen, hier genau hinschauen lohnt sich sehr.</t>
  </si>
  <si>
    <t xml:space="preserve">Eine möglichst genauere Betrachtung der Nutzung ist zur Beurteilung notwendig (evtl. ist Potential bei der bedarfsgerechten Steuerung der Heizung vorhanden) </t>
  </si>
  <si>
    <t>Sonstige Hinweise</t>
  </si>
  <si>
    <t>Das Schwimmbad ist kein Gebäude, bedarf gesonderter Betrachtung !</t>
  </si>
  <si>
    <t>Energiepreise haben in der jüngsten Vergangenheit stark geschwankt – diese im TAB „Parameter+Grundlagen“ aktuell halten, sonst stimmen die entsprechenden Zahlen nicht.</t>
  </si>
  <si>
    <t>Beschluss Klimabeirat</t>
  </si>
  <si>
    <t>Der Klimabeirat soll nach Beratung einen Beschlussvorschlag für die Stadtverordnetenversammlung erstellen, der mindestens umfasst:</t>
  </si>
  <si>
    <t>- Sofortiges Klären und Verbessern der Energieverbräuche, die aufgrund ungünstiger Betriebsführung und Nutzerverhaltens verbessert werden können</t>
  </si>
  <si>
    <t>- Leitlinien / Vorschläge beim Vorgehen und Priorisierung bei der Gebäudesanierung</t>
  </si>
  <si>
    <t>Automatisch sortierte Listen (als Zwischenschritt für graphische Darstellung)</t>
  </si>
  <si>
    <t>Diese Tabelle ist nur für Hilfsfunktionen</t>
  </si>
  <si>
    <t>a) sortiert nach CO2-Ausstoß</t>
  </si>
  <si>
    <t>Gebäude</t>
  </si>
  <si>
    <t>Baujahr</t>
  </si>
  <si>
    <t>Typ. Kosten pro Jahr</t>
  </si>
  <si>
    <t>Schätzung Betriebs-Stunden Heizung</t>
  </si>
  <si>
    <t>Dummy-Werte für Bubble-Graph</t>
  </si>
  <si>
    <t>b) sortiert nach jährl. Kosten</t>
  </si>
  <si>
    <t>c) sortiert nach spez. Verbrauch</t>
  </si>
</sst>
</file>

<file path=xl/styles.xml><?xml version="1.0" encoding="utf-8"?>
<styleSheet xmlns="http://schemas.openxmlformats.org/spreadsheetml/2006/main">
  <numFmts count="15">
    <numFmt numFmtId="164" formatCode="0"/>
    <numFmt numFmtId="165" formatCode="General"/>
    <numFmt numFmtId="166" formatCode="0.0"/>
    <numFmt numFmtId="167" formatCode="0.00"/>
    <numFmt numFmtId="168" formatCode="0\ %"/>
    <numFmt numFmtId="169" formatCode="General"/>
    <numFmt numFmtId="170" formatCode="#,##0.00"/>
    <numFmt numFmtId="171" formatCode="* #,##0.00\ ;\-* #,##0.00\ ;* \-#\ ;@\ "/>
    <numFmt numFmtId="172" formatCode="* #,##0\ ;\-* #,##0\ ;* \-#\ ;@\ "/>
    <numFmt numFmtId="173" formatCode="#,##0.00&quot;   &quot;"/>
    <numFmt numFmtId="174" formatCode="#,##0"/>
    <numFmt numFmtId="175" formatCode="#,##0\ [$€-407];\-#,##0\ [$€-407]"/>
    <numFmt numFmtId="176" formatCode="#,##0&quot;   &quot;;\-#,##0&quot;   &quot;"/>
    <numFmt numFmtId="177" formatCode="#,##0\ [$€-407];[RED]\-#,##0\ [$€-407]"/>
    <numFmt numFmtId="178" formatCode="#,##0&quot; €&quot;;\-#,##0&quot; €&quot;"/>
  </numFmts>
  <fonts count="56">
    <font>
      <sz val="10"/>
      <name val="Arial"/>
      <family val="2"/>
    </font>
    <font>
      <sz val="10"/>
      <name val="Mangal"/>
      <family val="2"/>
    </font>
    <font>
      <sz val="10"/>
      <color rgb="FF000000"/>
      <name val="Mangal"/>
      <family val="2"/>
    </font>
    <font>
      <b/>
      <sz val="10"/>
      <color rgb="FF0000FF"/>
      <name val="Arial"/>
      <family val="2"/>
    </font>
    <font>
      <sz val="8"/>
      <name val="Arial"/>
      <family val="2"/>
    </font>
    <font>
      <b/>
      <sz val="18"/>
      <name val="Arial"/>
      <family val="2"/>
    </font>
    <font>
      <b/>
      <u val="single"/>
      <sz val="10"/>
      <name val="Arial"/>
      <family val="2"/>
    </font>
    <font>
      <b/>
      <sz val="16"/>
      <color rgb="FFC9211E"/>
      <name val="Arial"/>
      <family val="2"/>
    </font>
    <font>
      <sz val="12"/>
      <name val="Arial"/>
      <family val="2"/>
    </font>
    <font>
      <sz val="16"/>
      <name val="Arial"/>
      <family val="2"/>
    </font>
    <font>
      <sz val="10"/>
      <color rgb="FFC9211E"/>
      <name val="Arial"/>
      <family val="2"/>
    </font>
    <font>
      <b/>
      <sz val="10"/>
      <color rgb="FFC9211E"/>
      <name val="Arial"/>
      <family val="2"/>
    </font>
    <font>
      <b/>
      <sz val="16"/>
      <name val="Arial"/>
      <family val="2"/>
    </font>
    <font>
      <b/>
      <sz val="10"/>
      <name val="Arial"/>
      <family val="2"/>
    </font>
    <font>
      <u val="single"/>
      <sz val="12"/>
      <name val="Arial"/>
      <family val="2"/>
    </font>
    <font>
      <u val="single"/>
      <sz val="10"/>
      <color rgb="FFC9211E"/>
      <name val="Arial"/>
      <family val="2"/>
    </font>
    <font>
      <b/>
      <sz val="18"/>
      <color rgb="FF0000FF"/>
      <name val="Arial"/>
      <family val="2"/>
    </font>
    <font>
      <b/>
      <u val="single"/>
      <sz val="12"/>
      <name val="Arial"/>
      <family val="2"/>
    </font>
    <font>
      <b/>
      <sz val="12"/>
      <color rgb="FFFF0000"/>
      <name val="Arial"/>
      <family val="2"/>
    </font>
    <font>
      <sz val="12"/>
      <color rgb="FFDCDCDC"/>
      <name val="Arial"/>
      <family val="2"/>
    </font>
    <font>
      <sz val="12"/>
      <color rgb="FFC9211E"/>
      <name val="Arial"/>
      <family val="2"/>
    </font>
    <font>
      <sz val="12"/>
      <color rgb="FF0000FF"/>
      <name val="Arial"/>
      <family val="2"/>
    </font>
    <font>
      <b/>
      <sz val="12"/>
      <color rgb="FF0000FF"/>
      <name val="Arial"/>
      <family val="2"/>
    </font>
    <font>
      <b/>
      <sz val="12"/>
      <name val="Arial"/>
      <family val="2"/>
    </font>
    <font>
      <b/>
      <sz val="12"/>
      <color rgb="FFC9211E"/>
      <name val="Arial"/>
      <family val="2"/>
    </font>
    <font>
      <u val="single"/>
      <sz val="12"/>
      <color rgb="FFC9211E"/>
      <name val="Arial"/>
      <family val="2"/>
    </font>
    <font>
      <sz val="10"/>
      <color rgb="FFFF0000"/>
      <name val="Arial"/>
      <family val="2"/>
    </font>
    <font>
      <sz val="11"/>
      <name val="Calibri"/>
      <family val="2"/>
    </font>
    <font>
      <b/>
      <sz val="14"/>
      <name val="Arial"/>
      <family val="2"/>
    </font>
    <font>
      <b/>
      <sz val="14"/>
      <color rgb="FF000000"/>
      <name val="Calibri"/>
      <family val="2"/>
    </font>
    <font>
      <b/>
      <sz val="11"/>
      <color rgb="FF000000"/>
      <name val="Calibri"/>
      <family val="2"/>
    </font>
    <font>
      <sz val="11"/>
      <color rgb="FF000000"/>
      <name val="Calibri"/>
      <family val="2"/>
    </font>
    <font>
      <sz val="11"/>
      <color rgb="FF808080"/>
      <name val="Calibri"/>
      <family val="2"/>
    </font>
    <font>
      <b/>
      <sz val="12"/>
      <color rgb="FF000000"/>
      <name val="Calibri"/>
      <family val="2"/>
    </font>
    <font>
      <b/>
      <sz val="12"/>
      <color rgb="FF0000FF"/>
      <name val="Calibri"/>
      <family val="2"/>
    </font>
    <font>
      <b/>
      <sz val="12"/>
      <name val="Calibri"/>
      <family val="2"/>
    </font>
    <font>
      <b/>
      <sz val="9"/>
      <name val="Arial"/>
      <family val="2"/>
    </font>
    <font>
      <b/>
      <sz val="9"/>
      <name val="Calibri"/>
      <family val="2"/>
    </font>
    <font>
      <b/>
      <sz val="9"/>
      <color rgb="FFFF0000"/>
      <name val="Arial"/>
      <family val="2"/>
    </font>
    <font>
      <sz val="10"/>
      <color rgb="FF808080"/>
      <name val="Arial"/>
      <family val="2"/>
    </font>
    <font>
      <sz val="10"/>
      <color rgb="FF0000FF"/>
      <name val="Arial"/>
      <family val="2"/>
    </font>
    <font>
      <sz val="9"/>
      <name val="Arial"/>
      <family val="2"/>
    </font>
    <font>
      <b/>
      <sz val="11"/>
      <name val="Calibri"/>
      <family val="2"/>
    </font>
    <font>
      <sz val="11"/>
      <color rgb="FF9C0006"/>
      <name val="Calibri"/>
      <family val="2"/>
    </font>
    <font>
      <sz val="10"/>
      <color rgb="FFA9A9A9"/>
      <name val="Arial"/>
      <family val="2"/>
    </font>
    <font>
      <sz val="11"/>
      <color rgb="FFA9A9A9"/>
      <name val="Calibri"/>
      <family val="2"/>
    </font>
    <font>
      <b/>
      <sz val="11"/>
      <color rgb="FFA9A9A9"/>
      <name val="Calibri"/>
      <family val="2"/>
    </font>
    <font>
      <sz val="9"/>
      <color rgb="FFA9A9A9"/>
      <name val="Arial"/>
      <family val="2"/>
    </font>
    <font>
      <b/>
      <sz val="14"/>
      <color rgb="FFDC143C"/>
      <name val="Arial"/>
      <family val="2"/>
    </font>
    <font>
      <sz val="13"/>
      <color rgb="FF000000"/>
      <name val="Arial"/>
      <family val="2"/>
    </font>
    <font>
      <sz val="10"/>
      <color rgb="FF000000"/>
      <name val="Arial"/>
      <family val="2"/>
    </font>
    <font>
      <sz val="9"/>
      <color rgb="FF000000"/>
      <name val="Arial"/>
      <family val="2"/>
    </font>
    <font>
      <b/>
      <u val="single"/>
      <sz val="18"/>
      <name val="Arial"/>
      <family val="2"/>
    </font>
    <font>
      <b/>
      <sz val="16"/>
      <color rgb="FFFF0000"/>
      <name val="Arial"/>
      <family val="2"/>
    </font>
    <font>
      <b/>
      <u val="single"/>
      <sz val="16"/>
      <color rgb="FFC9211E"/>
      <name val="Arial"/>
      <family val="2"/>
    </font>
    <font>
      <b/>
      <sz val="8"/>
      <name val="Arial"/>
      <family val="2"/>
    </font>
  </fonts>
  <fills count="14">
    <fill>
      <patternFill/>
    </fill>
    <fill>
      <patternFill patternType="gray125"/>
    </fill>
    <fill>
      <patternFill patternType="solid">
        <fgColor rgb="FF00FA9A"/>
        <bgColor indexed="64"/>
      </patternFill>
    </fill>
    <fill>
      <patternFill patternType="solid">
        <fgColor rgb="FF7CFC00"/>
        <bgColor indexed="64"/>
      </patternFill>
    </fill>
    <fill>
      <patternFill patternType="solid">
        <fgColor rgb="FFADFF2F"/>
        <bgColor indexed="64"/>
      </patternFill>
    </fill>
    <fill>
      <patternFill patternType="solid">
        <fgColor rgb="FFFFFF00"/>
        <bgColor indexed="64"/>
      </patternFill>
    </fill>
    <fill>
      <patternFill patternType="solid">
        <fgColor rgb="FFFFD700"/>
        <bgColor indexed="64"/>
      </patternFill>
    </fill>
    <fill>
      <patternFill patternType="solid">
        <fgColor rgb="FFFFA500"/>
        <bgColor indexed="64"/>
      </patternFill>
    </fill>
    <fill>
      <patternFill patternType="solid">
        <fgColor rgb="FFFF7F50"/>
        <bgColor indexed="64"/>
      </patternFill>
    </fill>
    <fill>
      <patternFill patternType="solid">
        <fgColor rgb="FFFF0000"/>
        <bgColor indexed="64"/>
      </patternFill>
    </fill>
    <fill>
      <patternFill patternType="solid">
        <fgColor rgb="FFFFC7CE"/>
        <bgColor indexed="64"/>
      </patternFill>
    </fill>
    <fill>
      <patternFill patternType="solid">
        <fgColor rgb="FFFFFFE0"/>
        <bgColor indexed="64"/>
      </patternFill>
    </fill>
    <fill>
      <patternFill patternType="solid">
        <fgColor rgb="FFFFE4B5"/>
        <bgColor indexed="64"/>
      </patternFill>
    </fill>
    <fill>
      <patternFill patternType="solid">
        <fgColor rgb="FFE0FFFF"/>
        <bgColor indexed="64"/>
      </patternFill>
    </fill>
  </fills>
  <borders count="21">
    <border>
      <left/>
      <right/>
      <top/>
      <bottom/>
      <diagonal/>
    </border>
    <border>
      <left style="thin"/>
      <right/>
      <top style="thin"/>
      <bottom style="thin"/>
    </border>
    <border>
      <left/>
      <right style="thin"/>
      <top style="thin"/>
      <bottom style="thin"/>
    </border>
    <border>
      <left style="thin"/>
      <right style="thin"/>
      <top style="thin"/>
      <bottom style="thin"/>
    </border>
    <border>
      <left/>
      <right/>
      <top style="thin"/>
      <bottom style="thin"/>
    </border>
    <border>
      <left style="thin"/>
      <right/>
      <top/>
      <bottom style="thin"/>
    </border>
    <border>
      <left/>
      <right/>
      <top/>
      <bottom style="thin"/>
    </border>
    <border>
      <left style="thin">
        <color rgb="FF0000FF"/>
      </left>
      <right style="thin"/>
      <top style="thin">
        <color rgb="FF0000FF"/>
      </top>
      <bottom style="thin"/>
    </border>
    <border>
      <left style="thin"/>
      <right style="thin"/>
      <top style="thin">
        <color rgb="FF0000FF"/>
      </top>
      <bottom style="thin"/>
    </border>
    <border>
      <left style="thin"/>
      <right style="thin">
        <color rgb="FF0000FF"/>
      </right>
      <top style="thin">
        <color rgb="FF0000FF"/>
      </top>
      <bottom style="thin"/>
    </border>
    <border>
      <left style="thin">
        <color rgb="FF0000FF"/>
      </left>
      <right style="thin"/>
      <top style="thin"/>
      <bottom style="thin"/>
    </border>
    <border>
      <left style="thin"/>
      <right style="thin">
        <color rgb="FF0000FF"/>
      </right>
      <top style="thin"/>
      <bottom style="thin"/>
    </border>
    <border>
      <left/>
      <right style="thin"/>
      <top/>
      <bottom/>
    </border>
    <border>
      <left style="thin">
        <color rgb="FF0000FF"/>
      </left>
      <right style="thin"/>
      <top style="thin"/>
      <bottom style="thin">
        <color rgb="FF0000FF"/>
      </bottom>
    </border>
    <border>
      <left style="thin"/>
      <right style="thin"/>
      <top style="thin"/>
      <bottom style="thin">
        <color rgb="FF0000FF"/>
      </bottom>
    </border>
    <border>
      <left style="thin"/>
      <right style="thin">
        <color rgb="FF0000FF"/>
      </right>
      <top style="thin"/>
      <bottom style="thin">
        <color rgb="FF0000FF"/>
      </bottom>
    </border>
    <border>
      <left style="thin"/>
      <right/>
      <top style="thin"/>
      <bottom/>
    </border>
    <border>
      <left/>
      <right/>
      <top style="thin"/>
      <bottom/>
    </border>
    <border>
      <left/>
      <right style="thin"/>
      <top style="thin"/>
      <bottom/>
    </border>
    <border>
      <left/>
      <right style="thin"/>
      <top/>
      <bottom style="thin"/>
    </border>
    <border>
      <left style="thin"/>
      <right/>
      <top/>
      <bottom/>
    </border>
  </borders>
  <cellStyleXfs count="45">
    <xf numFmtId="165"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171" fontId="1" fillId="0" borderId="0" applyBorder="0" applyProtection="0">
      <alignment/>
    </xf>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165" fontId="1" fillId="2" borderId="0" applyBorder="0" applyProtection="0">
      <alignment horizontal="center"/>
    </xf>
    <xf numFmtId="164" fontId="1" fillId="2" borderId="0" applyBorder="0" applyProtection="0">
      <alignment horizontal="center"/>
    </xf>
    <xf numFmtId="165" fontId="1" fillId="3" borderId="0" applyBorder="0" applyProtection="0">
      <alignment horizontal="center"/>
    </xf>
    <xf numFmtId="165" fontId="1" fillId="4" borderId="0" applyBorder="0" applyProtection="0">
      <alignment horizontal="center"/>
    </xf>
    <xf numFmtId="165" fontId="1" fillId="5" borderId="0" applyBorder="0" applyProtection="0">
      <alignment horizontal="center"/>
    </xf>
    <xf numFmtId="165" fontId="1" fillId="6" borderId="0" applyBorder="0" applyProtection="0">
      <alignment horizontal="center"/>
    </xf>
    <xf numFmtId="165" fontId="1" fillId="7" borderId="0" applyBorder="0" applyProtection="0">
      <alignment horizontal="center"/>
    </xf>
    <xf numFmtId="165" fontId="1" fillId="8" borderId="0" applyBorder="0" applyProtection="0">
      <alignment horizontal="center"/>
    </xf>
    <xf numFmtId="165" fontId="1" fillId="9" borderId="0" applyProtection="0">
      <alignment horizontal="center"/>
    </xf>
    <xf numFmtId="165" fontId="2" fillId="0" borderId="0" applyBorder="0" applyProtection="0">
      <alignment/>
    </xf>
    <xf numFmtId="165" fontId="43" fillId="10" borderId="0" applyBorder="0" applyProtection="0">
      <alignment/>
    </xf>
  </cellStyleXfs>
  <cellXfs count="237">
    <xf numFmtId="165" fontId="0" fillId="0" borderId="0" xfId="0" applyAlignment="1" applyProtection="1">
      <alignment/>
      <protection hidden="1"/>
    </xf>
    <xf numFmtId="165" fontId="3" fillId="0" borderId="0" xfId="0" applyFont="1" applyBorder="1" applyAlignment="1" applyProtection="1">
      <alignment/>
      <protection hidden="1"/>
    </xf>
    <xf numFmtId="165" fontId="4" fillId="0" borderId="0" xfId="0" applyFont="1" applyBorder="1" applyAlignment="1" applyProtection="1">
      <alignment/>
      <protection hidden="1"/>
    </xf>
    <xf numFmtId="165" fontId="0" fillId="0" borderId="0" xfId="0" applyBorder="1" applyAlignment="1" applyProtection="1">
      <alignment/>
      <protection hidden="1"/>
    </xf>
    <xf numFmtId="165" fontId="5" fillId="0" borderId="0" xfId="0" applyFont="1" applyAlignment="1" applyProtection="1">
      <alignment horizontal="left"/>
      <protection hidden="1"/>
    </xf>
    <xf numFmtId="165" fontId="6" fillId="0" borderId="0" xfId="0" applyFont="1" applyAlignment="1" applyProtection="1">
      <alignment/>
      <protection hidden="1"/>
    </xf>
    <xf numFmtId="165" fontId="7" fillId="0" borderId="0" xfId="0" applyFont="1" applyAlignment="1" applyProtection="1">
      <alignment horizontal="left"/>
      <protection hidden="1"/>
    </xf>
    <xf numFmtId="165" fontId="8" fillId="0" borderId="0" xfId="0" applyFont="1" applyAlignment="1" applyProtection="1">
      <alignment horizontal="left"/>
      <protection hidden="1"/>
    </xf>
    <xf numFmtId="165" fontId="9" fillId="0" borderId="0" xfId="0" applyFont="1" applyAlignment="1" applyProtection="1">
      <alignment horizontal="left"/>
      <protection hidden="1"/>
    </xf>
    <xf numFmtId="165" fontId="7" fillId="0" borderId="0" xfId="0" applyFont="1" applyAlignment="1" applyProtection="1">
      <alignment horizontal="center"/>
      <protection hidden="1"/>
    </xf>
    <xf numFmtId="165" fontId="9" fillId="0" borderId="0" xfId="0" applyFont="1" applyAlignment="1" applyProtection="1">
      <alignment/>
      <protection hidden="1"/>
    </xf>
    <xf numFmtId="165" fontId="10" fillId="0" borderId="0" xfId="0" applyFont="1" applyAlignment="1" applyProtection="1">
      <alignment/>
      <protection hidden="1"/>
    </xf>
    <xf numFmtId="165" fontId="11" fillId="0" borderId="0" xfId="0" applyFont="1" applyAlignment="1" applyProtection="1">
      <alignment horizontal="center"/>
      <protection hidden="1"/>
    </xf>
    <xf numFmtId="165" fontId="0" fillId="0" borderId="0" xfId="0" applyAlignment="1" applyProtection="1">
      <alignment wrapText="1"/>
      <protection hidden="1"/>
    </xf>
    <xf numFmtId="165" fontId="12" fillId="0" borderId="0" xfId="0" applyFont="1" applyAlignment="1" applyProtection="1">
      <alignment horizontal="left"/>
      <protection hidden="1"/>
    </xf>
    <xf numFmtId="165" fontId="14" fillId="0" borderId="0" xfId="0" applyFont="1" applyBorder="1" applyAlignment="1" applyProtection="1">
      <alignment/>
      <protection hidden="1"/>
    </xf>
    <xf numFmtId="165" fontId="8" fillId="0" borderId="0" xfId="0" applyFont="1" applyAlignment="1" applyProtection="1">
      <alignment/>
      <protection hidden="1"/>
    </xf>
    <xf numFmtId="165" fontId="15" fillId="0" borderId="0" xfId="0" applyFont="1" applyAlignment="1" applyProtection="1">
      <alignment/>
      <protection hidden="1"/>
    </xf>
    <xf numFmtId="165" fontId="5" fillId="0" borderId="0" xfId="0" applyFont="1" applyAlignment="1" applyProtection="1">
      <alignment/>
      <protection hidden="1"/>
    </xf>
    <xf numFmtId="165" fontId="0" fillId="0" borderId="0" xfId="0" applyAlignment="1" applyProtection="1">
      <alignment horizontal="left"/>
      <protection hidden="1"/>
    </xf>
    <xf numFmtId="165" fontId="13" fillId="0" borderId="0" xfId="0" applyFont="1" applyAlignment="1" applyProtection="1">
      <alignment/>
      <protection hidden="1"/>
    </xf>
    <xf numFmtId="165" fontId="12" fillId="0" borderId="0" xfId="0" applyFont="1" applyBorder="1" applyAlignment="1" applyProtection="1">
      <alignment/>
      <protection hidden="1"/>
    </xf>
    <xf numFmtId="165" fontId="5" fillId="0" borderId="0" xfId="0" applyFont="1" applyBorder="1" applyAlignment="1" applyProtection="1">
      <alignment/>
      <protection hidden="1"/>
    </xf>
    <xf numFmtId="165" fontId="17" fillId="0" borderId="0" xfId="0" applyFont="1" applyBorder="1" applyAlignment="1" applyProtection="1">
      <alignment/>
      <protection hidden="1"/>
    </xf>
    <xf numFmtId="165" fontId="8" fillId="0" borderId="0" xfId="0" applyFont="1" applyBorder="1" applyAlignment="1" applyProtection="1">
      <alignment/>
      <protection hidden="1"/>
    </xf>
    <xf numFmtId="165" fontId="18" fillId="0" borderId="0" xfId="0" applyFont="1" applyBorder="1" applyAlignment="1" applyProtection="1">
      <alignment/>
      <protection hidden="1"/>
    </xf>
    <xf numFmtId="165" fontId="8" fillId="0" borderId="1" xfId="0" applyFont="1" applyBorder="1" applyAlignment="1" applyProtection="1">
      <alignment/>
      <protection hidden="1"/>
    </xf>
    <xf numFmtId="165" fontId="8" fillId="0" borderId="2" xfId="0" applyFont="1" applyBorder="1" applyAlignment="1" applyProtection="1">
      <alignment/>
      <protection hidden="1"/>
    </xf>
    <xf numFmtId="165" fontId="8" fillId="0" borderId="3" xfId="0" applyFont="1" applyBorder="1" applyAlignment="1" applyProtection="1">
      <alignment horizontal="left" vertical="center" wrapText="1"/>
      <protection hidden="1"/>
    </xf>
    <xf numFmtId="165" fontId="8" fillId="0" borderId="3" xfId="0" applyFont="1" applyBorder="1" applyAlignment="1" applyProtection="1">
      <alignment horizontal="left" vertical="center"/>
      <protection hidden="1"/>
    </xf>
    <xf numFmtId="165" fontId="19" fillId="0" borderId="2" xfId="0" applyFont="1" applyBorder="1" applyAlignment="1" applyProtection="1">
      <alignment/>
      <protection hidden="1"/>
    </xf>
    <xf numFmtId="166" fontId="8" fillId="11" borderId="1" xfId="0" applyFont="1" applyBorder="1" applyAlignment="1" applyProtection="1">
      <alignment/>
      <protection hidden="1"/>
    </xf>
    <xf numFmtId="165" fontId="8" fillId="0" borderId="4" xfId="0" applyFont="1" applyBorder="1" applyAlignment="1" applyProtection="1">
      <alignment/>
      <protection hidden="1"/>
    </xf>
    <xf numFmtId="167" fontId="8" fillId="11" borderId="1" xfId="0" applyFont="1" applyBorder="1" applyAlignment="1" applyProtection="1">
      <alignment/>
      <protection hidden="1"/>
    </xf>
    <xf numFmtId="165" fontId="20" fillId="0" borderId="3" xfId="0" applyFont="1" applyBorder="1" applyAlignment="1" applyProtection="1">
      <alignment horizontal="left" vertical="center"/>
      <protection hidden="1"/>
    </xf>
    <xf numFmtId="167" fontId="8" fillId="12" borderId="1" xfId="0" applyFont="1" applyBorder="1" applyAlignment="1" applyProtection="1">
      <alignment/>
      <protection hidden="1"/>
    </xf>
    <xf numFmtId="165" fontId="8" fillId="12" borderId="0" xfId="0" applyFont="1" applyAlignment="1" applyProtection="1">
      <alignment/>
      <protection hidden="1"/>
    </xf>
    <xf numFmtId="165" fontId="8" fillId="0" borderId="0" xfId="0" applyFont="1" applyAlignment="1" applyProtection="1">
      <alignment wrapText="1"/>
      <protection hidden="1"/>
    </xf>
    <xf numFmtId="165" fontId="0" fillId="0" borderId="0" xfId="0" applyFont="1" applyAlignment="1" applyProtection="1">
      <alignment/>
      <protection hidden="1"/>
    </xf>
    <xf numFmtId="165" fontId="17" fillId="0" borderId="0" xfId="0" applyFont="1" applyAlignment="1" applyProtection="1">
      <alignment/>
      <protection hidden="1"/>
    </xf>
    <xf numFmtId="165" fontId="8" fillId="0" borderId="0" xfId="0" applyFont="1" applyBorder="1" applyAlignment="1" applyProtection="1">
      <alignment horizontal="center" vertical="center"/>
      <protection hidden="1"/>
    </xf>
    <xf numFmtId="165" fontId="8" fillId="11" borderId="3" xfId="0" applyFont="1" applyBorder="1" applyAlignment="1" applyProtection="1">
      <alignment/>
      <protection hidden="1"/>
    </xf>
    <xf numFmtId="165" fontId="21" fillId="0" borderId="0" xfId="0" applyFont="1" applyAlignment="1" applyProtection="1">
      <alignment/>
      <protection hidden="1"/>
    </xf>
    <xf numFmtId="165" fontId="22" fillId="0" borderId="0" xfId="0" applyFont="1" applyAlignment="1" applyProtection="1">
      <alignment/>
      <protection hidden="1"/>
    </xf>
    <xf numFmtId="165" fontId="22" fillId="0" borderId="0" xfId="0" applyFont="1" applyBorder="1" applyAlignment="1" applyProtection="1">
      <alignment/>
      <protection hidden="1"/>
    </xf>
    <xf numFmtId="165" fontId="20" fillId="0" borderId="0" xfId="0" applyFont="1" applyAlignment="1" applyProtection="1">
      <alignment/>
      <protection hidden="1"/>
    </xf>
    <xf numFmtId="165" fontId="8" fillId="0" borderId="3" xfId="0" applyFont="1" applyBorder="1" applyAlignment="1" applyProtection="1">
      <alignment horizontal="center" vertical="center"/>
      <protection hidden="1"/>
    </xf>
    <xf numFmtId="165" fontId="23" fillId="0" borderId="0" xfId="0" applyFont="1" applyAlignment="1" applyProtection="1">
      <alignment/>
      <protection hidden="1"/>
    </xf>
    <xf numFmtId="165" fontId="8" fillId="11" borderId="0" xfId="0" applyFont="1" applyBorder="1" applyAlignment="1" applyProtection="1">
      <alignment horizontal="right" vertical="center"/>
      <protection hidden="1"/>
    </xf>
    <xf numFmtId="165" fontId="23" fillId="0" borderId="3" xfId="0" applyFont="1" applyBorder="1" applyAlignment="1" applyProtection="1">
      <alignment horizontal="center" vertical="center" wrapText="1"/>
      <protection hidden="1"/>
    </xf>
    <xf numFmtId="165" fontId="8" fillId="0" borderId="3" xfId="0" applyFont="1" applyBorder="1" applyAlignment="1" applyProtection="1">
      <alignment horizontal="center" vertical="center" wrapText="1"/>
      <protection hidden="1"/>
    </xf>
    <xf numFmtId="168" fontId="8" fillId="0" borderId="3" xfId="0" applyFont="1" applyBorder="1" applyAlignment="1" applyProtection="1">
      <alignment horizontal="center" vertical="center"/>
      <protection hidden="1"/>
    </xf>
    <xf numFmtId="165" fontId="20" fillId="0" borderId="3" xfId="0" applyFont="1" applyBorder="1" applyAlignment="1" applyProtection="1">
      <alignment horizontal="center" vertical="center"/>
      <protection hidden="1"/>
    </xf>
    <xf numFmtId="168" fontId="20" fillId="0" borderId="3" xfId="0" applyFont="1" applyBorder="1" applyAlignment="1" applyProtection="1">
      <alignment horizontal="center" vertical="center"/>
      <protection hidden="1"/>
    </xf>
    <xf numFmtId="165" fontId="24" fillId="0" borderId="0" xfId="0" applyFont="1" applyAlignment="1" applyProtection="1">
      <alignment/>
      <protection hidden="1"/>
    </xf>
    <xf numFmtId="165" fontId="23" fillId="0" borderId="0" xfId="0" applyFont="1" applyBorder="1" applyAlignment="1" applyProtection="1">
      <alignment/>
      <protection hidden="1"/>
    </xf>
    <xf numFmtId="165" fontId="23" fillId="0" borderId="0" xfId="0" applyFont="1" applyBorder="1" applyAlignment="1" applyProtection="1">
      <alignment horizontal="center" vertical="center"/>
      <protection hidden="1"/>
    </xf>
    <xf numFmtId="165" fontId="23" fillId="0" borderId="0" xfId="0" applyFont="1" applyBorder="1" applyAlignment="1" applyProtection="1">
      <alignment horizontal="left" vertical="center"/>
      <protection hidden="1"/>
    </xf>
    <xf numFmtId="165" fontId="25" fillId="0" borderId="0" xfId="0" applyFont="1" applyAlignment="1" applyProtection="1">
      <alignment/>
      <protection hidden="1"/>
    </xf>
    <xf numFmtId="165" fontId="26" fillId="0" borderId="0" xfId="0" applyFont="1" applyAlignment="1" applyProtection="1">
      <alignment/>
      <protection hidden="1"/>
    </xf>
    <xf numFmtId="165" fontId="0" fillId="0" borderId="0" xfId="0" applyAlignment="1" applyProtection="1">
      <alignment horizontal="center"/>
      <protection hidden="1"/>
    </xf>
    <xf numFmtId="165" fontId="27" fillId="0" borderId="0" xfId="0" applyFont="1" applyAlignment="1" applyProtection="1">
      <alignment wrapText="1"/>
      <protection hidden="1"/>
    </xf>
    <xf numFmtId="165" fontId="28" fillId="0" borderId="0" xfId="0" applyFont="1" applyAlignment="1" applyProtection="1">
      <alignment/>
      <protection hidden="1"/>
    </xf>
    <xf numFmtId="165" fontId="27" fillId="5" borderId="0" xfId="0" applyFont="1" applyAlignment="1" applyProtection="1">
      <alignment/>
      <protection hidden="1"/>
    </xf>
    <xf numFmtId="165" fontId="0" fillId="5" borderId="0" xfId="0" applyAlignment="1" applyProtection="1">
      <alignment/>
      <protection hidden="1"/>
    </xf>
    <xf numFmtId="165" fontId="29" fillId="0" borderId="0" xfId="0" applyFont="1" applyAlignment="1" applyProtection="1">
      <alignment/>
      <protection hidden="1"/>
    </xf>
    <xf numFmtId="165" fontId="30" fillId="0" borderId="0" xfId="0" applyFont="1" applyBorder="1" applyAlignment="1" applyProtection="1">
      <alignment horizontal="left" wrapText="1"/>
      <protection hidden="1"/>
    </xf>
    <xf numFmtId="165" fontId="30" fillId="0" borderId="0" xfId="0" applyFont="1" applyBorder="1" applyAlignment="1" applyProtection="1">
      <alignment horizontal="left" vertical="center" wrapText="1"/>
      <protection hidden="1"/>
    </xf>
    <xf numFmtId="165" fontId="30" fillId="13" borderId="0" xfId="0" applyFont="1" applyBorder="1" applyAlignment="1" applyProtection="1">
      <alignment horizontal="left" vertical="center" wrapText="1"/>
      <protection hidden="1"/>
    </xf>
    <xf numFmtId="165" fontId="11" fillId="0" borderId="0" xfId="0" applyFont="1" applyAlignment="1" applyProtection="1">
      <alignment/>
      <protection hidden="1"/>
    </xf>
    <xf numFmtId="165" fontId="31" fillId="0" borderId="5" xfId="0" applyFont="1" applyBorder="1" applyAlignment="1" applyProtection="1">
      <alignment horizontal="center" wrapText="1"/>
      <protection hidden="1"/>
    </xf>
    <xf numFmtId="165" fontId="31" fillId="0" borderId="6" xfId="0" applyFont="1" applyBorder="1" applyAlignment="1" applyProtection="1">
      <alignment horizontal="center" wrapText="1"/>
      <protection hidden="1"/>
    </xf>
    <xf numFmtId="165" fontId="32" fillId="0" borderId="6" xfId="0" applyFont="1" applyBorder="1" applyAlignment="1" applyProtection="1">
      <alignment wrapText="1"/>
      <protection hidden="1"/>
    </xf>
    <xf numFmtId="165" fontId="33" fillId="0" borderId="7" xfId="0" applyFont="1" applyBorder="1" applyAlignment="1" applyProtection="1">
      <alignment horizontal="center"/>
      <protection hidden="1"/>
    </xf>
    <xf numFmtId="165" fontId="33" fillId="0" borderId="8" xfId="0" applyFont="1" applyBorder="1" applyAlignment="1" applyProtection="1">
      <alignment horizontal="center"/>
      <protection hidden="1"/>
    </xf>
    <xf numFmtId="165" fontId="33" fillId="0" borderId="8" xfId="0" applyFont="1" applyBorder="1" applyAlignment="1" applyProtection="1">
      <alignment horizontal="center" wrapText="1"/>
      <protection hidden="1"/>
    </xf>
    <xf numFmtId="165" fontId="34" fillId="0" borderId="8" xfId="0" applyFont="1" applyBorder="1" applyAlignment="1" applyProtection="1">
      <alignment horizontal="center" wrapText="1"/>
      <protection hidden="1"/>
    </xf>
    <xf numFmtId="165" fontId="35" fillId="0" borderId="8" xfId="0" applyFont="1" applyBorder="1" applyAlignment="1" applyProtection="1">
      <alignment horizontal="center" wrapText="1"/>
      <protection hidden="1"/>
    </xf>
    <xf numFmtId="164" fontId="36" fillId="0" borderId="8" xfId="0" applyFont="1" applyBorder="1" applyAlignment="1" applyProtection="1">
      <alignment horizontal="center" vertical="center" wrapText="1"/>
      <protection hidden="1"/>
    </xf>
    <xf numFmtId="170" fontId="36" fillId="0" borderId="8" xfId="0" applyFont="1" applyBorder="1" applyAlignment="1" applyProtection="1">
      <alignment horizontal="center" vertical="center" wrapText="1"/>
      <protection hidden="1"/>
    </xf>
    <xf numFmtId="170" fontId="36" fillId="0" borderId="9" xfId="0" applyFont="1" applyBorder="1" applyAlignment="1" applyProtection="1">
      <alignment horizontal="center" vertical="center" wrapText="1"/>
      <protection hidden="1"/>
    </xf>
    <xf numFmtId="170" fontId="36" fillId="0" borderId="3" xfId="0" applyFont="1" applyBorder="1" applyAlignment="1" applyProtection="1">
      <alignment horizontal="center" vertical="center" wrapText="1"/>
      <protection hidden="1"/>
    </xf>
    <xf numFmtId="170" fontId="38" fillId="0" borderId="3" xfId="0" applyFont="1" applyBorder="1" applyAlignment="1" applyProtection="1">
      <alignment horizontal="center" vertical="center" wrapText="1"/>
      <protection hidden="1"/>
    </xf>
    <xf numFmtId="165" fontId="30" fillId="0" borderId="0" xfId="0" applyFont="1" applyAlignment="1" applyProtection="1">
      <alignment/>
      <protection hidden="1"/>
    </xf>
    <xf numFmtId="165" fontId="39" fillId="0" borderId="0" xfId="0" applyFont="1" applyAlignment="1" applyProtection="1">
      <alignment horizontal="center"/>
      <protection hidden="1"/>
    </xf>
    <xf numFmtId="165" fontId="39" fillId="0" borderId="0" xfId="0" applyFont="1" applyAlignment="1" applyProtection="1">
      <alignment/>
      <protection hidden="1"/>
    </xf>
    <xf numFmtId="165" fontId="0" fillId="0" borderId="10" xfId="0" applyFont="1" applyBorder="1" applyAlignment="1" applyProtection="1">
      <alignment/>
      <protection hidden="1"/>
    </xf>
    <xf numFmtId="165" fontId="0" fillId="0" borderId="3" xfId="0" applyFont="1" applyBorder="1" applyAlignment="1" applyProtection="1">
      <alignment/>
      <protection hidden="1"/>
    </xf>
    <xf numFmtId="165" fontId="0" fillId="0" borderId="3" xfId="0" applyBorder="1" applyAlignment="1" applyProtection="1">
      <alignment horizontal="center"/>
      <protection hidden="1"/>
    </xf>
    <xf numFmtId="165" fontId="0" fillId="0" borderId="3" xfId="0" applyFont="1" applyBorder="1" applyAlignment="1" applyProtection="1">
      <alignment wrapText="1"/>
      <protection hidden="1"/>
    </xf>
    <xf numFmtId="166" fontId="0" fillId="0" borderId="3" xfId="0" applyBorder="1" applyAlignment="1" applyProtection="1">
      <alignment horizontal="center"/>
      <protection hidden="1"/>
    </xf>
    <xf numFmtId="165" fontId="40" fillId="0" borderId="3" xfId="0" applyFont="1" applyBorder="1" applyAlignment="1" applyProtection="1">
      <alignment/>
      <protection hidden="1"/>
    </xf>
    <xf numFmtId="165" fontId="27" fillId="13" borderId="3" xfId="0" applyFont="1" applyBorder="1" applyAlignment="1" applyProtection="1">
      <alignment wrapText="1"/>
      <protection hidden="1"/>
    </xf>
    <xf numFmtId="172" fontId="41" fillId="13" borderId="3" xfId="18" applyFont="1" applyBorder="1" applyAlignment="1" applyProtection="1">
      <alignment horizontal="center"/>
      <protection hidden="1"/>
    </xf>
    <xf numFmtId="173" fontId="41" fillId="13" borderId="11" xfId="0" applyFont="1" applyBorder="1" applyAlignment="1" applyProtection="1">
      <alignment/>
      <protection hidden="1"/>
    </xf>
    <xf numFmtId="165" fontId="42" fillId="0" borderId="3" xfId="0" applyFont="1" applyBorder="1" applyAlignment="1" applyProtection="1">
      <alignment wrapText="1"/>
      <protection hidden="1"/>
    </xf>
    <xf numFmtId="168" fontId="0" fillId="11" borderId="3" xfId="0" applyBorder="1" applyAlignment="1" applyProtection="1">
      <alignment horizontal="center"/>
      <protection hidden="1"/>
    </xf>
    <xf numFmtId="174" fontId="0" fillId="0" borderId="3" xfId="0" applyBorder="1" applyAlignment="1" applyProtection="1">
      <alignment/>
      <protection hidden="1"/>
    </xf>
    <xf numFmtId="175" fontId="0" fillId="0" borderId="3" xfId="0" applyBorder="1" applyAlignment="1" applyProtection="1">
      <alignment/>
      <protection hidden="1"/>
    </xf>
    <xf numFmtId="164" fontId="0" fillId="0" borderId="3" xfId="0" applyBorder="1" applyAlignment="1" applyProtection="1">
      <alignment horizontal="center"/>
      <protection hidden="1"/>
    </xf>
    <xf numFmtId="165" fontId="0" fillId="0" borderId="3" xfId="0" applyBorder="1" applyAlignment="1" applyProtection="1">
      <alignment wrapText="1"/>
      <protection hidden="1"/>
    </xf>
    <xf numFmtId="165" fontId="27" fillId="0" borderId="3" xfId="0" applyFont="1" applyBorder="1" applyAlignment="1" applyProtection="1">
      <alignment wrapText="1"/>
      <protection hidden="1"/>
    </xf>
    <xf numFmtId="165" fontId="26" fillId="0" borderId="3" xfId="0" applyFont="1" applyBorder="1" applyAlignment="1" applyProtection="1">
      <alignment wrapText="1"/>
      <protection hidden="1"/>
    </xf>
    <xf numFmtId="168" fontId="40" fillId="13" borderId="3" xfId="0" applyFont="1" applyBorder="1" applyAlignment="1" applyProtection="1">
      <alignment horizontal="left" wrapText="1"/>
      <protection hidden="1"/>
    </xf>
    <xf numFmtId="165" fontId="0" fillId="0" borderId="10" xfId="0" applyFont="1" applyBorder="1" applyAlignment="1" applyProtection="1">
      <alignment wrapText="1"/>
      <protection hidden="1"/>
    </xf>
    <xf numFmtId="165" fontId="0" fillId="0" borderId="3" xfId="0" applyFont="1" applyBorder="1" applyAlignment="1" applyProtection="1">
      <alignment horizontal="left"/>
      <protection hidden="1"/>
    </xf>
    <xf numFmtId="165" fontId="40" fillId="0" borderId="3" xfId="0" applyFont="1" applyBorder="1" applyAlignment="1" applyProtection="1">
      <alignment horizontal="left"/>
      <protection hidden="1"/>
    </xf>
    <xf numFmtId="172" fontId="41" fillId="0" borderId="3" xfId="18" applyFont="1" applyBorder="1" applyAlignment="1" applyProtection="1">
      <alignment horizontal="center"/>
      <protection hidden="1"/>
    </xf>
    <xf numFmtId="173" fontId="41" fillId="0" borderId="3" xfId="0" applyFont="1" applyBorder="1" applyAlignment="1" applyProtection="1">
      <alignment/>
      <protection hidden="1"/>
    </xf>
    <xf numFmtId="173" fontId="41" fillId="0" borderId="11" xfId="0" applyFont="1" applyBorder="1" applyAlignment="1" applyProtection="1">
      <alignment/>
      <protection hidden="1"/>
    </xf>
    <xf numFmtId="164" fontId="26" fillId="0" borderId="3" xfId="0" applyFont="1" applyBorder="1" applyAlignment="1" applyProtection="1">
      <alignment horizontal="center"/>
      <protection hidden="1"/>
    </xf>
    <xf numFmtId="165" fontId="27" fillId="0" borderId="3" xfId="0" applyFont="1" applyBorder="1" applyAlignment="1" applyProtection="1">
      <alignment horizontal="left" wrapText="1"/>
      <protection hidden="1"/>
    </xf>
    <xf numFmtId="165" fontId="0" fillId="0" borderId="12" xfId="0" applyFont="1" applyBorder="1" applyAlignment="1" applyProtection="1">
      <alignment wrapText="1"/>
      <protection hidden="1"/>
    </xf>
    <xf numFmtId="165" fontId="39" fillId="5" borderId="0" xfId="0" applyFont="1" applyAlignment="1" applyProtection="1">
      <alignment horizontal="center"/>
      <protection hidden="1"/>
    </xf>
    <xf numFmtId="165" fontId="32" fillId="0" borderId="0" xfId="0" applyFont="1" applyAlignment="1" applyProtection="1">
      <alignment/>
      <protection hidden="1"/>
    </xf>
    <xf numFmtId="165" fontId="33" fillId="5" borderId="3" xfId="0" applyFont="1" applyBorder="1" applyAlignment="1" applyProtection="1">
      <alignment/>
      <protection hidden="1"/>
    </xf>
    <xf numFmtId="166" fontId="33" fillId="5" borderId="3" xfId="0" applyFont="1" applyBorder="1" applyAlignment="1" applyProtection="1">
      <alignment horizontal="center" wrapText="1"/>
      <protection hidden="1"/>
    </xf>
    <xf numFmtId="165" fontId="33" fillId="5" borderId="3" xfId="0" applyFont="1" applyBorder="1" applyAlignment="1" applyProtection="1">
      <alignment horizontal="center" wrapText="1"/>
      <protection hidden="1"/>
    </xf>
    <xf numFmtId="165" fontId="33" fillId="5" borderId="3" xfId="0" applyFont="1" applyBorder="1" applyAlignment="1" applyProtection="1">
      <alignment wrapText="1"/>
      <protection hidden="1"/>
    </xf>
    <xf numFmtId="172" fontId="41" fillId="5" borderId="3" xfId="18" applyFont="1" applyBorder="1" applyAlignment="1" applyProtection="1">
      <alignment horizontal="center"/>
      <protection hidden="1"/>
    </xf>
    <xf numFmtId="165" fontId="30" fillId="5" borderId="3" xfId="0" applyFont="1" applyBorder="1" applyAlignment="1" applyProtection="1">
      <alignment/>
      <protection hidden="1"/>
    </xf>
    <xf numFmtId="165" fontId="30" fillId="5" borderId="11" xfId="0" applyFont="1" applyBorder="1" applyAlignment="1" applyProtection="1">
      <alignment/>
      <protection hidden="1"/>
    </xf>
    <xf numFmtId="165" fontId="30" fillId="0" borderId="3" xfId="0" applyFont="1" applyBorder="1" applyAlignment="1" applyProtection="1">
      <alignment wrapText="1"/>
      <protection hidden="1"/>
    </xf>
    <xf numFmtId="165" fontId="39" fillId="0" borderId="0" xfId="0" applyFont="1" applyAlignment="1" applyProtection="1">
      <alignment horizontal="justify"/>
      <protection hidden="1"/>
    </xf>
    <xf numFmtId="165" fontId="13" fillId="0" borderId="10" xfId="0" applyFont="1" applyBorder="1" applyAlignment="1" applyProtection="1">
      <alignment wrapText="1"/>
      <protection hidden="1"/>
    </xf>
    <xf numFmtId="165" fontId="0" fillId="0" borderId="3" xfId="0" applyFont="1" applyBorder="1" applyAlignment="1" applyProtection="1">
      <alignment horizontal="center" wrapText="1"/>
      <protection hidden="1"/>
    </xf>
    <xf numFmtId="165" fontId="40" fillId="0" borderId="3" xfId="0" applyFont="1" applyBorder="1" applyAlignment="1" applyProtection="1">
      <alignment horizontal="left" wrapText="1"/>
      <protection hidden="1"/>
    </xf>
    <xf numFmtId="172" fontId="41" fillId="0" borderId="11" xfId="18" applyFont="1" applyBorder="1" applyAlignment="1" applyProtection="1">
      <alignment horizontal="center"/>
      <protection hidden="1"/>
    </xf>
    <xf numFmtId="170" fontId="41" fillId="0" borderId="3" xfId="0" applyFont="1" applyBorder="1" applyAlignment="1" applyProtection="1">
      <alignment/>
      <protection hidden="1"/>
    </xf>
    <xf numFmtId="170" fontId="41" fillId="0" borderId="11" xfId="0" applyFont="1" applyBorder="1" applyAlignment="1" applyProtection="1">
      <alignment/>
      <protection hidden="1"/>
    </xf>
    <xf numFmtId="165" fontId="0" fillId="5" borderId="3" xfId="0" applyBorder="1" applyAlignment="1" applyProtection="1">
      <alignment/>
      <protection hidden="1"/>
    </xf>
    <xf numFmtId="165" fontId="0" fillId="5" borderId="11" xfId="0" applyBorder="1" applyAlignment="1" applyProtection="1">
      <alignment/>
      <protection hidden="1"/>
    </xf>
    <xf numFmtId="165" fontId="0" fillId="0" borderId="3" xfId="0" applyFont="1" applyBorder="1" applyAlignment="1" applyProtection="1">
      <alignment horizontal="left" wrapText="1"/>
      <protection hidden="1"/>
    </xf>
    <xf numFmtId="166" fontId="0" fillId="13" borderId="3" xfId="0" applyBorder="1" applyAlignment="1" applyProtection="1">
      <alignment horizontal="center"/>
      <protection hidden="1"/>
    </xf>
    <xf numFmtId="165" fontId="0" fillId="13" borderId="3" xfId="0" applyFont="1" applyBorder="1" applyAlignment="1" applyProtection="1">
      <alignment horizontal="left"/>
      <protection hidden="1"/>
    </xf>
    <xf numFmtId="172" fontId="41" fillId="13" borderId="3" xfId="18" applyFont="1" applyBorder="1" applyAlignment="1" applyProtection="1">
      <alignment horizontal="left"/>
      <protection hidden="1"/>
    </xf>
    <xf numFmtId="172" fontId="41" fillId="5" borderId="3" xfId="18" applyFont="1" applyBorder="1" applyAlignment="1" applyProtection="1">
      <alignment horizontal="left"/>
      <protection hidden="1"/>
    </xf>
    <xf numFmtId="165" fontId="40" fillId="13" borderId="3" xfId="0" applyFont="1" applyBorder="1" applyAlignment="1" applyProtection="1">
      <alignment horizontal="left" wrapText="1"/>
      <protection hidden="1"/>
    </xf>
    <xf numFmtId="165" fontId="10" fillId="0" borderId="10" xfId="0" applyFont="1" applyBorder="1" applyAlignment="1" applyProtection="1">
      <alignment/>
      <protection hidden="1"/>
    </xf>
    <xf numFmtId="165" fontId="0" fillId="5" borderId="3" xfId="0" applyBorder="1" applyAlignment="1" applyProtection="1">
      <alignment horizontal="center"/>
      <protection hidden="1"/>
    </xf>
    <xf numFmtId="165" fontId="0" fillId="13" borderId="3" xfId="0" applyFont="1" applyBorder="1" applyAlignment="1" applyProtection="1">
      <alignment horizontal="left" wrapText="1"/>
      <protection hidden="1"/>
    </xf>
    <xf numFmtId="172" fontId="41" fillId="0" borderId="3" xfId="18" applyFont="1" applyBorder="1" applyAlignment="1" applyProtection="1">
      <alignment horizontal="left"/>
      <protection hidden="1"/>
    </xf>
    <xf numFmtId="165" fontId="27" fillId="0" borderId="10" xfId="44" applyFont="1" applyBorder="1" applyAlignment="1" applyProtection="1">
      <alignment/>
      <protection hidden="1"/>
    </xf>
    <xf numFmtId="165" fontId="27" fillId="0" borderId="3" xfId="44" applyFont="1" applyBorder="1" applyAlignment="1" applyProtection="1">
      <alignment horizontal="center"/>
      <protection hidden="1"/>
    </xf>
    <xf numFmtId="165" fontId="27" fillId="0" borderId="3" xfId="44" applyFont="1" applyBorder="1" applyAlignment="1" applyProtection="1">
      <alignment horizontal="left"/>
      <protection hidden="1"/>
    </xf>
    <xf numFmtId="166" fontId="27" fillId="0" borderId="3" xfId="44" applyFont="1" applyBorder="1" applyAlignment="1" applyProtection="1">
      <alignment horizontal="center"/>
      <protection hidden="1"/>
    </xf>
    <xf numFmtId="165" fontId="43" fillId="13" borderId="3" xfId="44" applyFont="1" applyBorder="1" applyAlignment="1" applyProtection="1">
      <alignment horizontal="left"/>
      <protection hidden="1"/>
    </xf>
    <xf numFmtId="165" fontId="27" fillId="0" borderId="3" xfId="44" applyFont="1" applyBorder="1" applyAlignment="1" applyProtection="1">
      <alignment horizontal="left" wrapText="1"/>
      <protection hidden="1"/>
    </xf>
    <xf numFmtId="176" fontId="41" fillId="13" borderId="3" xfId="18" applyFont="1" applyBorder="1" applyAlignment="1" applyProtection="1">
      <alignment horizontal="right"/>
      <protection hidden="1"/>
    </xf>
    <xf numFmtId="173" fontId="41" fillId="13" borderId="3" xfId="0" applyFont="1" applyBorder="1" applyAlignment="1" applyProtection="1">
      <alignment/>
      <protection hidden="1"/>
    </xf>
    <xf numFmtId="173" fontId="41" fillId="0" borderId="3" xfId="0" applyFont="1" applyBorder="1" applyAlignment="1" applyProtection="1">
      <alignment horizontal="left" wrapText="1"/>
      <protection hidden="1"/>
    </xf>
    <xf numFmtId="173" fontId="41" fillId="0" borderId="0" xfId="0" applyFont="1" applyBorder="1" applyAlignment="1" applyProtection="1">
      <alignment/>
      <protection hidden="1"/>
    </xf>
    <xf numFmtId="165" fontId="27" fillId="13" borderId="3" xfId="0" applyFont="1" applyBorder="1" applyAlignment="1" applyProtection="1">
      <alignment horizontal="left" wrapText="1"/>
      <protection hidden="1"/>
    </xf>
    <xf numFmtId="172" fontId="41" fillId="0" borderId="11" xfId="18" applyFont="1" applyBorder="1" applyAlignment="1" applyProtection="1">
      <alignment horizontal="left"/>
      <protection hidden="1"/>
    </xf>
    <xf numFmtId="165" fontId="0" fillId="5" borderId="3" xfId="0" applyFont="1" applyBorder="1" applyAlignment="1" applyProtection="1">
      <alignment horizontal="left"/>
      <protection hidden="1"/>
    </xf>
    <xf numFmtId="165" fontId="40" fillId="13" borderId="3" xfId="0" applyFont="1" applyBorder="1" applyAlignment="1" applyProtection="1">
      <alignment horizontal="left"/>
      <protection hidden="1"/>
    </xf>
    <xf numFmtId="176" fontId="41" fillId="13" borderId="3" xfId="18" applyFont="1" applyBorder="1" applyAlignment="1" applyProtection="1">
      <alignment horizontal="left"/>
      <protection hidden="1"/>
    </xf>
    <xf numFmtId="173" fontId="41" fillId="13" borderId="3" xfId="0" applyFont="1" applyBorder="1" applyAlignment="1" applyProtection="1">
      <alignment horizontal="left"/>
      <protection hidden="1"/>
    </xf>
    <xf numFmtId="173" fontId="41" fillId="13" borderId="11" xfId="0" applyFont="1" applyBorder="1" applyAlignment="1" applyProtection="1">
      <alignment horizontal="left"/>
      <protection hidden="1"/>
    </xf>
    <xf numFmtId="170" fontId="0" fillId="0" borderId="3" xfId="0" applyBorder="1" applyAlignment="1" applyProtection="1">
      <alignment/>
      <protection hidden="1"/>
    </xf>
    <xf numFmtId="165" fontId="0" fillId="0" borderId="11" xfId="0" applyFont="1" applyBorder="1" applyAlignment="1" applyProtection="1">
      <alignment wrapText="1"/>
      <protection hidden="1"/>
    </xf>
    <xf numFmtId="165" fontId="0" fillId="0" borderId="13" xfId="0" applyBorder="1" applyAlignment="1" applyProtection="1">
      <alignment/>
      <protection hidden="1"/>
    </xf>
    <xf numFmtId="165" fontId="0" fillId="0" borderId="14" xfId="0" applyBorder="1" applyAlignment="1" applyProtection="1">
      <alignment/>
      <protection hidden="1"/>
    </xf>
    <xf numFmtId="165" fontId="13" fillId="0" borderId="14" xfId="0" applyFont="1" applyBorder="1" applyAlignment="1" applyProtection="1">
      <alignment horizontal="right"/>
      <protection hidden="1"/>
    </xf>
    <xf numFmtId="174" fontId="13" fillId="0" borderId="14" xfId="0" applyFont="1" applyBorder="1" applyAlignment="1" applyProtection="1">
      <alignment/>
      <protection hidden="1"/>
    </xf>
    <xf numFmtId="171" fontId="0" fillId="0" borderId="14" xfId="18" applyFont="1" applyBorder="1" applyAlignment="1" applyProtection="1">
      <alignment/>
      <protection hidden="1"/>
    </xf>
    <xf numFmtId="165" fontId="0" fillId="0" borderId="15" xfId="0" applyBorder="1" applyAlignment="1" applyProtection="1">
      <alignment/>
      <protection hidden="1"/>
    </xf>
    <xf numFmtId="165" fontId="0" fillId="0" borderId="3" xfId="0" applyBorder="1" applyAlignment="1" applyProtection="1">
      <alignment/>
      <protection hidden="1"/>
    </xf>
    <xf numFmtId="165" fontId="13" fillId="0" borderId="3" xfId="0" applyFont="1" applyBorder="1" applyAlignment="1" applyProtection="1">
      <alignment horizontal="right"/>
      <protection hidden="1"/>
    </xf>
    <xf numFmtId="174" fontId="13" fillId="0" borderId="3" xfId="0" applyFont="1" applyBorder="1" applyAlignment="1" applyProtection="1">
      <alignment/>
      <protection hidden="1"/>
    </xf>
    <xf numFmtId="177" fontId="13" fillId="0" borderId="3" xfId="0" applyFont="1" applyBorder="1" applyAlignment="1" applyProtection="1">
      <alignment/>
      <protection hidden="1"/>
    </xf>
    <xf numFmtId="164" fontId="13" fillId="0" borderId="3" xfId="0" applyFont="1" applyBorder="1" applyAlignment="1" applyProtection="1">
      <alignment/>
      <protection hidden="1"/>
    </xf>
    <xf numFmtId="165" fontId="0" fillId="0" borderId="0" xfId="0" applyBorder="1" applyAlignment="1" applyProtection="1">
      <alignment horizontal="center"/>
      <protection hidden="1"/>
    </xf>
    <xf numFmtId="165" fontId="0" fillId="0" borderId="0" xfId="0" applyBorder="1" applyAlignment="1" applyProtection="1">
      <alignment horizontal="left"/>
      <protection hidden="1"/>
    </xf>
    <xf numFmtId="165" fontId="27" fillId="0" borderId="0" xfId="0" applyFont="1" applyBorder="1" applyAlignment="1" applyProtection="1">
      <alignment horizontal="left" wrapText="1"/>
      <protection hidden="1"/>
    </xf>
    <xf numFmtId="165" fontId="44" fillId="0" borderId="0" xfId="0" applyFont="1" applyAlignment="1" applyProtection="1">
      <alignment/>
      <protection hidden="1"/>
    </xf>
    <xf numFmtId="165" fontId="44" fillId="0" borderId="0" xfId="0" applyFont="1" applyAlignment="1" applyProtection="1">
      <alignment horizontal="center"/>
      <protection hidden="1"/>
    </xf>
    <xf numFmtId="165" fontId="44" fillId="0" borderId="3" xfId="0" applyFont="1" applyBorder="1" applyAlignment="1" applyProtection="1">
      <alignment/>
      <protection hidden="1"/>
    </xf>
    <xf numFmtId="165" fontId="44" fillId="0" borderId="3" xfId="0" applyFont="1" applyBorder="1" applyAlignment="1" applyProtection="1">
      <alignment horizontal="center"/>
      <protection hidden="1"/>
    </xf>
    <xf numFmtId="165" fontId="44" fillId="0" borderId="3" xfId="0" applyFont="1" applyBorder="1" applyAlignment="1" applyProtection="1">
      <alignment horizontal="left"/>
      <protection hidden="1"/>
    </xf>
    <xf numFmtId="166" fontId="44" fillId="0" borderId="3" xfId="0" applyFont="1" applyBorder="1" applyAlignment="1" applyProtection="1">
      <alignment horizontal="center"/>
      <protection hidden="1"/>
    </xf>
    <xf numFmtId="165" fontId="45" fillId="0" borderId="3" xfId="0" applyFont="1" applyBorder="1" applyAlignment="1" applyProtection="1">
      <alignment horizontal="left" wrapText="1"/>
      <protection hidden="1"/>
    </xf>
    <xf numFmtId="165" fontId="46" fillId="0" borderId="3" xfId="0" applyFont="1" applyBorder="1" applyAlignment="1" applyProtection="1">
      <alignment wrapText="1"/>
      <protection hidden="1"/>
    </xf>
    <xf numFmtId="174" fontId="44" fillId="0" borderId="0" xfId="0" applyFont="1" applyAlignment="1" applyProtection="1">
      <alignment/>
      <protection hidden="1"/>
    </xf>
    <xf numFmtId="165" fontId="44" fillId="0" borderId="0" xfId="0" applyFont="1" applyAlignment="1" applyProtection="1">
      <alignment wrapText="1"/>
      <protection hidden="1"/>
    </xf>
    <xf numFmtId="165" fontId="44" fillId="0" borderId="3" xfId="0" applyFont="1" applyBorder="1" applyAlignment="1" applyProtection="1">
      <alignment wrapText="1"/>
      <protection hidden="1"/>
    </xf>
    <xf numFmtId="168" fontId="44" fillId="0" borderId="3" xfId="0" applyFont="1" applyBorder="1" applyAlignment="1" applyProtection="1">
      <alignment horizontal="left" wrapText="1"/>
      <protection hidden="1"/>
    </xf>
    <xf numFmtId="172" fontId="47" fillId="0" borderId="3" xfId="18" applyFont="1" applyBorder="1" applyAlignment="1" applyProtection="1">
      <alignment horizontal="center"/>
      <protection hidden="1"/>
    </xf>
    <xf numFmtId="173" fontId="47" fillId="0" borderId="3" xfId="0" applyFont="1" applyBorder="1" applyAlignment="1" applyProtection="1">
      <alignment/>
      <protection hidden="1"/>
    </xf>
    <xf numFmtId="174" fontId="0" fillId="0" borderId="0" xfId="0" applyAlignment="1" applyProtection="1">
      <alignment/>
      <protection hidden="1"/>
    </xf>
    <xf numFmtId="175" fontId="0" fillId="0" borderId="0" xfId="0" applyAlignment="1" applyProtection="1">
      <alignment/>
      <protection hidden="1"/>
    </xf>
    <xf numFmtId="164" fontId="0" fillId="0" borderId="0" xfId="0" applyAlignment="1" applyProtection="1">
      <alignment horizontal="center"/>
      <protection hidden="1"/>
    </xf>
    <xf numFmtId="165" fontId="44" fillId="0" borderId="3" xfId="0" applyFont="1" applyBorder="1" applyAlignment="1" applyProtection="1">
      <alignment horizontal="left" wrapText="1"/>
      <protection hidden="1"/>
    </xf>
    <xf numFmtId="165" fontId="44" fillId="0" borderId="16" xfId="0" applyFont="1" applyBorder="1" applyAlignment="1" applyProtection="1">
      <alignment wrapText="1"/>
      <protection hidden="1"/>
    </xf>
    <xf numFmtId="165" fontId="44" fillId="0" borderId="17" xfId="0" applyFont="1" applyBorder="1" applyAlignment="1" applyProtection="1">
      <alignment horizontal="center"/>
      <protection hidden="1"/>
    </xf>
    <xf numFmtId="165" fontId="44" fillId="0" borderId="17" xfId="0" applyFont="1" applyBorder="1" applyAlignment="1" applyProtection="1">
      <alignment horizontal="left"/>
      <protection hidden="1"/>
    </xf>
    <xf numFmtId="166" fontId="44" fillId="0" borderId="17" xfId="0" applyFont="1" applyBorder="1" applyAlignment="1" applyProtection="1">
      <alignment horizontal="center"/>
      <protection hidden="1"/>
    </xf>
    <xf numFmtId="165" fontId="45" fillId="0" borderId="18" xfId="0" applyFont="1" applyBorder="1" applyAlignment="1" applyProtection="1">
      <alignment horizontal="left" wrapText="1"/>
      <protection hidden="1"/>
    </xf>
    <xf numFmtId="174" fontId="41" fillId="0" borderId="0" xfId="0" applyFont="1" applyBorder="1" applyAlignment="1" applyProtection="1">
      <alignment/>
      <protection hidden="1"/>
    </xf>
    <xf numFmtId="165" fontId="44" fillId="0" borderId="5" xfId="0" applyFont="1" applyBorder="1" applyAlignment="1" applyProtection="1">
      <alignment wrapText="1"/>
      <protection hidden="1"/>
    </xf>
    <xf numFmtId="165" fontId="44" fillId="0" borderId="6" xfId="0" applyFont="1" applyBorder="1" applyAlignment="1" applyProtection="1">
      <alignment horizontal="center"/>
      <protection hidden="1"/>
    </xf>
    <xf numFmtId="165" fontId="44" fillId="0" borderId="6" xfId="0" applyFont="1" applyBorder="1" applyAlignment="1" applyProtection="1">
      <alignment horizontal="left"/>
      <protection hidden="1"/>
    </xf>
    <xf numFmtId="166" fontId="44" fillId="0" borderId="6" xfId="0" applyFont="1" applyBorder="1" applyAlignment="1" applyProtection="1">
      <alignment horizontal="center"/>
      <protection hidden="1"/>
    </xf>
    <xf numFmtId="165" fontId="45" fillId="0" borderId="19" xfId="0" applyFont="1" applyBorder="1" applyAlignment="1" applyProtection="1">
      <alignment horizontal="left" wrapText="1"/>
      <protection hidden="1"/>
    </xf>
    <xf numFmtId="165" fontId="28" fillId="0" borderId="0" xfId="0" applyFont="1" applyBorder="1" applyAlignment="1" applyProtection="1">
      <alignment/>
      <protection hidden="1"/>
    </xf>
    <xf numFmtId="165" fontId="28" fillId="0" borderId="0" xfId="0" applyFont="1" applyAlignment="1" applyProtection="1">
      <alignment/>
      <protection hidden="1"/>
    </xf>
    <xf numFmtId="174" fontId="28" fillId="0" borderId="0" xfId="0" applyFont="1" applyAlignment="1" applyProtection="1">
      <alignment/>
      <protection hidden="1"/>
    </xf>
    <xf numFmtId="165" fontId="48" fillId="0" borderId="0" xfId="0" applyFont="1" applyAlignment="1" applyProtection="1">
      <alignment/>
      <protection hidden="1"/>
    </xf>
    <xf numFmtId="165" fontId="48" fillId="0" borderId="0" xfId="0" applyFont="1" applyAlignment="1" applyProtection="1">
      <alignment/>
      <protection hidden="1"/>
    </xf>
    <xf numFmtId="165" fontId="52" fillId="0" borderId="0" xfId="0" applyFont="1" applyAlignment="1" applyProtection="1">
      <alignment horizontal="left"/>
      <protection hidden="1"/>
    </xf>
    <xf numFmtId="165" fontId="0" fillId="0" borderId="1" xfId="0" applyBorder="1" applyAlignment="1" applyProtection="1">
      <alignment/>
      <protection hidden="1"/>
    </xf>
    <xf numFmtId="165" fontId="0" fillId="0" borderId="4" xfId="0" applyBorder="1" applyAlignment="1" applyProtection="1">
      <alignment/>
      <protection hidden="1"/>
    </xf>
    <xf numFmtId="165" fontId="12" fillId="0" borderId="1" xfId="0" applyFont="1" applyBorder="1" applyAlignment="1" applyProtection="1">
      <alignment horizontal="left"/>
      <protection hidden="1"/>
    </xf>
    <xf numFmtId="165" fontId="12" fillId="0" borderId="4" xfId="0" applyFont="1" applyBorder="1" applyAlignment="1" applyProtection="1">
      <alignment horizontal="left"/>
      <protection hidden="1"/>
    </xf>
    <xf numFmtId="165" fontId="12" fillId="0" borderId="1" xfId="0" applyFont="1" applyBorder="1" applyAlignment="1" applyProtection="1">
      <alignment horizontal="left"/>
      <protection hidden="1"/>
    </xf>
    <xf numFmtId="165" fontId="8" fillId="0" borderId="4" xfId="0" applyFont="1" applyBorder="1" applyAlignment="1" applyProtection="1">
      <alignment/>
      <protection hidden="1"/>
    </xf>
    <xf numFmtId="165" fontId="53" fillId="0" borderId="1" xfId="0" applyFont="1" applyBorder="1" applyAlignment="1" applyProtection="1">
      <alignment horizontal="left"/>
      <protection hidden="1"/>
    </xf>
    <xf numFmtId="165" fontId="12" fillId="0" borderId="1" xfId="0" applyFont="1" applyBorder="1" applyAlignment="1" applyProtection="1">
      <alignment horizontal="center"/>
      <protection hidden="1"/>
    </xf>
    <xf numFmtId="165" fontId="12" fillId="0" borderId="4" xfId="0" applyFont="1" applyBorder="1" applyAlignment="1" applyProtection="1">
      <alignment horizontal="center"/>
      <protection hidden="1"/>
    </xf>
    <xf numFmtId="165" fontId="26" fillId="0" borderId="1" xfId="0" applyFont="1" applyBorder="1" applyAlignment="1" applyProtection="1">
      <alignment/>
      <protection hidden="1"/>
    </xf>
    <xf numFmtId="165" fontId="26" fillId="0" borderId="1" xfId="0" applyFont="1" applyBorder="1" applyAlignment="1" applyProtection="1">
      <alignment horizontal="left"/>
      <protection hidden="1"/>
    </xf>
    <xf numFmtId="165" fontId="0" fillId="0" borderId="1" xfId="0" applyBorder="1" applyAlignment="1" applyProtection="1">
      <alignment horizontal="left"/>
      <protection hidden="1"/>
    </xf>
    <xf numFmtId="165" fontId="54" fillId="0" borderId="0" xfId="0" applyFont="1" applyAlignment="1" applyProtection="1">
      <alignment/>
      <protection hidden="1"/>
    </xf>
    <xf numFmtId="165" fontId="42" fillId="0" borderId="16" xfId="0" applyFont="1" applyBorder="1" applyAlignment="1" applyProtection="1">
      <alignment wrapText="1"/>
      <protection hidden="1"/>
    </xf>
    <xf numFmtId="165" fontId="33" fillId="0" borderId="17" xfId="0" applyFont="1" applyBorder="1" applyAlignment="1" applyProtection="1">
      <alignment horizontal="center"/>
      <protection hidden="1"/>
    </xf>
    <xf numFmtId="165" fontId="33" fillId="0" borderId="17" xfId="0" applyFont="1" applyBorder="1" applyAlignment="1" applyProtection="1">
      <alignment horizontal="center" wrapText="1"/>
      <protection hidden="1"/>
    </xf>
    <xf numFmtId="170" fontId="36" fillId="0" borderId="17" xfId="0" applyFont="1" applyBorder="1" applyAlignment="1" applyProtection="1">
      <alignment horizontal="center" vertical="center" wrapText="1"/>
      <protection hidden="1"/>
    </xf>
    <xf numFmtId="170" fontId="36" fillId="0" borderId="18" xfId="0" applyFont="1" applyBorder="1" applyAlignment="1" applyProtection="1">
      <alignment horizontal="center" vertical="center" wrapText="1"/>
      <protection hidden="1"/>
    </xf>
    <xf numFmtId="165" fontId="0" fillId="0" borderId="20" xfId="0" applyBorder="1" applyAlignment="1" applyProtection="1">
      <alignment/>
      <protection hidden="1"/>
    </xf>
    <xf numFmtId="174" fontId="0" fillId="0" borderId="0" xfId="0" applyAlignment="1" applyProtection="1">
      <alignment horizontal="center"/>
      <protection hidden="1"/>
    </xf>
    <xf numFmtId="178" fontId="0" fillId="0" borderId="0" xfId="0" applyAlignment="1" applyProtection="1">
      <alignment horizontal="center"/>
      <protection hidden="1"/>
    </xf>
    <xf numFmtId="164" fontId="0" fillId="0" borderId="12" xfId="0" applyBorder="1" applyAlignment="1" applyProtection="1">
      <alignment horizontal="center"/>
      <protection hidden="1"/>
    </xf>
    <xf numFmtId="165" fontId="0" fillId="0" borderId="5" xfId="0" applyBorder="1" applyAlignment="1" applyProtection="1">
      <alignment/>
      <protection hidden="1"/>
    </xf>
    <xf numFmtId="165" fontId="0" fillId="0" borderId="6" xfId="0" applyBorder="1" applyAlignment="1" applyProtection="1">
      <alignment horizontal="center"/>
      <protection hidden="1"/>
    </xf>
    <xf numFmtId="174" fontId="0" fillId="0" borderId="6" xfId="0" applyBorder="1" applyAlignment="1" applyProtection="1">
      <alignment horizontal="center"/>
      <protection hidden="1"/>
    </xf>
    <xf numFmtId="178" fontId="0" fillId="0" borderId="6" xfId="0" applyBorder="1" applyAlignment="1" applyProtection="1">
      <alignment horizontal="center"/>
      <protection hidden="1"/>
    </xf>
    <xf numFmtId="164" fontId="0" fillId="0" borderId="19" xfId="0" applyBorder="1" applyAlignment="1" applyProtection="1">
      <alignment horizontal="center"/>
      <protection hidden="1"/>
    </xf>
  </cellXfs>
  <cellStyles count="17">
    <cellStyle name="Normal" xfId="0"/>
    <cellStyle name="Percent" xfId="15"/>
    <cellStyle name="Currency" xfId="16"/>
    <cellStyle name="Currency [0]" xfId="17"/>
    <cellStyle name="Comma" xfId="18"/>
    <cellStyle name="Comma [0]" xfId="19"/>
    <cellStyle name="Klasse A" xfId="34"/>
    <cellStyle name="Klasse A+" xfId="35"/>
    <cellStyle name="Klasse B" xfId="36"/>
    <cellStyle name="Klasse C" xfId="37"/>
    <cellStyle name="Klasse D" xfId="38"/>
    <cellStyle name="Klasse E" xfId="39"/>
    <cellStyle name="Klasse F" xfId="40"/>
    <cellStyle name="Klasse G" xfId="41"/>
    <cellStyle name="Klasse H" xfId="42"/>
    <cellStyle name="Überschrift" xfId="43"/>
    <cellStyle name="Excel Built-in Bad" xfId="44"/>
  </cellStyles>
  <dxfs count="18">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
      <font>
        <name val="Mangal"/>
        <family val="0"/>
      </font>
      <numFmt numFmtId="164" formatCode="0"/>
      <fill>
        <patternFill>
          <bgColor rgb="FF00FA9A"/>
        </patternFill>
      </fill>
      <border/>
    </dxf>
    <dxf>
      <font>
        <name val="Mangal"/>
        <family val="0"/>
      </font>
      <fill>
        <patternFill>
          <bgColor rgb="FF00FA9A"/>
        </patternFill>
      </fill>
      <border/>
    </dxf>
    <dxf>
      <font>
        <name val="Mangal"/>
        <family val="0"/>
      </font>
      <fill>
        <patternFill>
          <bgColor rgb="FF7CFC00"/>
        </patternFill>
      </fill>
      <border/>
    </dxf>
    <dxf>
      <font>
        <name val="Mangal"/>
        <family val="0"/>
      </font>
      <fill>
        <patternFill>
          <bgColor rgb="FFADFF2F"/>
        </patternFill>
      </fill>
      <border/>
    </dxf>
    <dxf>
      <font>
        <name val="Mangal"/>
        <family val="0"/>
      </font>
      <fill>
        <patternFill>
          <bgColor rgb="FFFFFF00"/>
        </patternFill>
      </fill>
      <border/>
    </dxf>
    <dxf>
      <font>
        <name val="Mangal"/>
        <family val="0"/>
      </font>
      <fill>
        <patternFill>
          <bgColor rgb="FFFFD700"/>
        </patternFill>
      </fill>
      <border/>
    </dxf>
    <dxf>
      <font>
        <name val="Mangal"/>
        <family val="0"/>
      </font>
      <fill>
        <patternFill>
          <bgColor rgb="FFFFD700"/>
        </patternFill>
      </fill>
      <border/>
    </dxf>
    <dxf>
      <font>
        <name val="Mangal"/>
        <family val="0"/>
      </font>
      <fill>
        <patternFill>
          <bgColor rgb="FFFF7F50"/>
        </patternFill>
      </fill>
      <border/>
    </dxf>
    <dxf>
      <font>
        <name val="Mangal"/>
        <family val="0"/>
      </font>
      <fill>
        <patternFill>
          <bgColor rgb="FFFF0000"/>
        </patternFill>
      </fill>
      <border>
        <left/>
        <right/>
        <top/>
        <bottom/>
      </border>
    </dxf>
  </dxfs>
  <colors>
    <indexedColors>
      <rgbColor rgb="00000000"/>
      <rgbColor rgb="00FFFFFF"/>
      <rgbColor rgb="00FF0000"/>
      <rgbColor rgb="0000FF00"/>
      <rgbColor rgb="000000FF"/>
      <rgbColor rgb="00FFFF00"/>
      <rgbColor rgb="00FF00FF"/>
      <rgbColor rgb="0000FFFF"/>
      <rgbColor rgb="007E0021"/>
      <rgbColor rgb="00008000"/>
      <rgbColor rgb="00000080"/>
      <rgbColor rgb="00808000"/>
      <rgbColor rgb="00C5000B"/>
      <rgbColor rgb="00008080"/>
      <rgbColor rgb="00B3B3B3"/>
      <rgbColor rgb="00808080"/>
      <rgbColor rgb="009370DB"/>
      <rgbColor rgb="00DC143C"/>
      <rgbColor rgb="00FFFFE0"/>
      <rgbColor rgb="00E0FFFF"/>
      <rgbColor rgb="00660066"/>
      <rgbColor rgb="00FF7F50"/>
      <rgbColor rgb="000084D1"/>
      <rgbColor rgb="00DCDCDC"/>
      <rgbColor rgb="00000080"/>
      <rgbColor rgb="00FF00FF"/>
      <rgbColor rgb="00FFD320"/>
      <rgbColor rgb="0000FFFF"/>
      <rgbColor rgb="00800080"/>
      <rgbColor rgb="009C0006"/>
      <rgbColor rgb="00008080"/>
      <rgbColor rgb="000000FF"/>
      <rgbColor rgb="0000CCFF"/>
      <rgbColor rgb="00CCFFFF"/>
      <rgbColor rgb="00ADFF2F"/>
      <rgbColor rgb="00FFE4B5"/>
      <rgbColor rgb="0083CAFF"/>
      <rgbColor rgb="00FF99CC"/>
      <rgbColor rgb="00CC99FF"/>
      <rgbColor rgb="00FFC7CE"/>
      <rgbColor rgb="003366FF"/>
      <rgbColor rgb="0033CCCC"/>
      <rgbColor rgb="00AECF00"/>
      <rgbColor rgb="00FFD700"/>
      <rgbColor rgb="00FFA500"/>
      <rgbColor rgb="00FF420E"/>
      <rgbColor rgb="00666699"/>
      <rgbColor rgb="00A9A9A9"/>
      <rgbColor rgb="00004586"/>
      <rgbColor rgb="00579D1C"/>
      <rgbColor rgb="00003300"/>
      <rgbColor rgb="00314004"/>
      <rgbColor rgb="00C9211E"/>
      <rgbColor rgb="00993366"/>
      <rgbColor rgb="004B1F6F"/>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CO2-Emissionen [kg/a]</a:t>
            </a:r>
          </a:p>
        </c:rich>
      </c:tx>
      <c:layout/>
      <c:overlay val="0"/>
      <c:spPr>
        <a:noFill/>
        <a:ln w="0">
          <a:noFill/>
        </a:ln>
      </c:spPr>
    </c:title>
    <c:plotArea>
      <c:layout/>
      <c:barChart>
        <c:barDir val="col"/>
        <c:grouping val="clustered"/>
        <c:varyColors val="0"/>
        <c:ser>
          <c:idx val="0"/>
          <c:order val="0"/>
          <c:tx>
            <c:strRef>
              <c:f>Sortierung!$H$3:$H$3</c:f>
              <c:strCache>
                <c:ptCount val="1"/>
                <c:pt idx="0">
                  <c:v>CO2-Emission [kg]</c:v>
                </c:pt>
              </c:strCache>
            </c:strRef>
          </c:tx>
          <c:spPr>
            <a:solidFill>
              <a:srgbClr val="FF00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4cc7f6b-3715-4fc2-aa11-178a04bfbbf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d04a6cf6-888f-4748-9a8b-e7380e1285b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4fb4317f-8fb8-4900-8637-55a456cb395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352cc483-f4e7-4448-80d9-c2f66b1a73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60cffef1-05f8-46eb-8457-667cfd20005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3424462d-4567-4804-b41b-7e49e33e9e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46170c09-bc1b-47b8-a016-7e251a2284f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f6b73098-36b5-4aae-90cc-7fe4fcd5a3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a1169ae8-be4c-4fd5-b63f-21967ca28b0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5055f327-3231-42d9-b224-8089a83c444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df43fef3-f59f-4d5f-946a-e860bbd03d6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b48d37e1-ff08-4feb-8133-ad3688d76fd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815185e2-6326-4e98-8553-8a9ccb8047a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3ea38a57-da7a-489e-944f-3c05f5391ab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1fc7624f-db5d-4169-b8ef-51e1518d681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823f3772-d5cf-4317-8875-eb3feeceb39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1149c760-443c-437e-b8f0-319ca48e6b8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dbc80ff8-86c5-4bef-9d6c-da6b9f82294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0da7f045-2478-4c36-a9c7-baf6e9b2217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2ccd2cd4-f9f1-47e7-b8e4-b02e1b5e53e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93601b47-6102-4ae7-82b4-f96ad95c2a3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1419f0ef-3b8a-41dd-9218-adff99d358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0f160320-fb1b-498f-b504-70c6642292d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a72e1c22-eacf-4aa8-90c7-4e779ecc593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776f377f-9526-465d-a429-82c93450050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Sortierung!$B$4:$B$28</c:f>
              <c:strCache/>
            </c:strRef>
          </c:cat>
          <c:val>
            <c:numRef>
              <c:f>Sortierung!$H$4:$H$28</c:f>
              <c:numCache/>
            </c:numRef>
          </c:val>
        </c:ser>
        <c:gapWidth val="100"/>
        <c:axId val="28907728"/>
        <c:axId val="58842961"/>
      </c:barChart>
      <c:catAx>
        <c:axId val="28907728"/>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842961"/>
        <c:crosses val="autoZero"/>
        <c:auto val="1"/>
        <c:lblOffset val="100"/>
        <c:noMultiLvlLbl val="0"/>
      </c:catAx>
      <c:valAx>
        <c:axId val="58842961"/>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28907728"/>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spezifischer Verbrauch [kWh / (m² a)]</a:t>
            </a:r>
          </a:p>
        </c:rich>
      </c:tx>
      <c:layout/>
      <c:overlay val="0"/>
      <c:spPr>
        <a:noFill/>
        <a:ln w="0">
          <a:noFill/>
        </a:ln>
      </c:spPr>
    </c:title>
    <c:plotArea>
      <c:layout>
        <c:manualLayout>
          <c:layoutTarget val="inner"/>
          <c:xMode val="edge"/>
          <c:yMode val="edge"/>
          <c:x val="0.1345"/>
          <c:y val="0.0995"/>
          <c:w val="0.8165"/>
          <c:h val="0.461"/>
        </c:manualLayout>
      </c:layout>
      <c:barChart>
        <c:barDir val="col"/>
        <c:grouping val="clustered"/>
        <c:varyColors val="0"/>
        <c:ser>
          <c:idx val="0"/>
          <c:order val="0"/>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23d7cbe-d460-4936-9d5b-eb35a2316aba}"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52ef94a0-71a4-4787-b1ca-1b217c3f6b3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d0cef6c4-264b-4f70-b4f4-2c160b4a05f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f22eb52f-4979-4140-a0bc-e23b08be5db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842de022-e3f3-4b71-ab0c-d72039b4250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d8e488f6-130b-4494-b183-bb9969b187d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67cd06d7-e538-4552-865e-3bd546e421b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23b11a7b-f07e-4b93-a74b-5519a3ed58c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1052a8ca-db90-419d-a998-1e41d76b4a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c275595b-888e-4716-b0a7-d3632eb40c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9ab43c2c-173e-40dd-97ea-723f516ff7a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320fc07d-dbac-4961-9461-f1c9ea7a88c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7637150c-7bbd-4fe2-b305-585e10c7985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6c1267d8-c3c2-42ef-9732-b406636a5c4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3d853d6-0a75-4525-b402-486e2166194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06478de3-f592-4dbe-a3b1-32a9c897886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845ec0e8-8f97-4c58-9fea-18470cb32c3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fbb7b9d1-a3db-454e-b4db-52c8e1fcee8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dd7922a8-85cc-4908-9650-fc1cdeced4b4}"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1760f0d1-cf05-448e-bee4-f86cffc4f139}"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637d723e-d34e-44b0-8505-0243d883adf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cbbcb0f2-fa58-4206-a694-c1c376eacb6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72a008d8-49d2-4509-a8cf-1714888c67d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4c86a23e-7b1f-42a0-a6e8-6224d121547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3e095d3b-639e-46c5-8828-faa905c06a9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a13ca4e6-6d98-4787-bf5b-fe054e534738}"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Sortierung!$B$92:$B$117</c:f>
              <c:strCache/>
            </c:strRef>
          </c:cat>
          <c:val>
            <c:numRef>
              <c:f>Sortierung!$J$92:$J$117</c:f>
              <c:numCache/>
            </c:numRef>
          </c:val>
        </c:ser>
        <c:gapWidth val="100"/>
        <c:axId val="59824602"/>
        <c:axId val="1550507"/>
      </c:barChart>
      <c:catAx>
        <c:axId val="59824602"/>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550507"/>
        <c:crosses val="autoZero"/>
        <c:auto val="1"/>
        <c:lblOffset val="100"/>
        <c:noMultiLvlLbl val="0"/>
      </c:catAx>
      <c:valAx>
        <c:axId val="1550507"/>
        <c:scaling>
          <c:orientation val="minMax"/>
        </c:scaling>
        <c:axPos val="l"/>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9824602"/>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Jährliche Verbrauchskosten (soweit erfasst)</a:t>
            </a:r>
          </a:p>
        </c:rich>
      </c:tx>
      <c:layout/>
      <c:overlay val="0"/>
      <c:spPr>
        <a:noFill/>
        <a:ln w="0">
          <a:noFill/>
        </a:ln>
      </c:spPr>
    </c:title>
    <c:plotArea>
      <c:layout/>
      <c:barChart>
        <c:barDir val="col"/>
        <c:grouping val="clustered"/>
        <c:varyColors val="0"/>
        <c:ser>
          <c:idx val="0"/>
          <c:order val="0"/>
          <c:spPr>
            <a:solidFill>
              <a:srgbClr val="9370D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8753a14b-1b00-4c72-b290-367d66ff791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
              <c:tx>
                <c:rich>
                  <a:bodyPr vert="horz" rot="0" wrap="none" anchor="ctr"/>
                  <a:lstStyle/>
                  <a:p>
                    <a:pPr algn="ctr">
                      <a:defRPr/>
                    </a:pPr>
                    <a:fld id="{2f9b4336-4325-4f08-a4cf-d5cc47233f4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
              <c:tx>
                <c:rich>
                  <a:bodyPr vert="horz" rot="0" wrap="none" anchor="ctr"/>
                  <a:lstStyle/>
                  <a:p>
                    <a:pPr algn="ctr">
                      <a:defRPr/>
                    </a:pPr>
                    <a:fld id="{14c1c33c-df63-4fa7-ad0f-48371c01c1a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3"/>
              <c:tx>
                <c:rich>
                  <a:bodyPr vert="horz" rot="0" wrap="none" anchor="ctr"/>
                  <a:lstStyle/>
                  <a:p>
                    <a:pPr algn="ctr">
                      <a:defRPr/>
                    </a:pPr>
                    <a:fld id="{08b93fea-c060-4eba-a94b-18448c3653c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4"/>
              <c:tx>
                <c:rich>
                  <a:bodyPr vert="horz" rot="0" wrap="none" anchor="ctr"/>
                  <a:lstStyle/>
                  <a:p>
                    <a:pPr algn="ctr">
                      <a:defRPr/>
                    </a:pPr>
                    <a:fld id="{5799a766-d7c8-496e-8e55-0710560cc6f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5"/>
              <c:tx>
                <c:rich>
                  <a:bodyPr vert="horz" rot="0" wrap="none" anchor="ctr"/>
                  <a:lstStyle/>
                  <a:p>
                    <a:pPr algn="ctr">
                      <a:defRPr/>
                    </a:pPr>
                    <a:fld id="{d25c94c6-fccd-48d6-93dc-f1e2bd52e17e}"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6"/>
              <c:tx>
                <c:rich>
                  <a:bodyPr vert="horz" rot="0" wrap="none" anchor="ctr"/>
                  <a:lstStyle/>
                  <a:p>
                    <a:pPr algn="ctr">
                      <a:defRPr/>
                    </a:pPr>
                    <a:fld id="{9615486d-8bd9-4668-9128-46d41a9082f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7"/>
              <c:tx>
                <c:rich>
                  <a:bodyPr vert="horz" rot="0" wrap="none" anchor="ctr"/>
                  <a:lstStyle/>
                  <a:p>
                    <a:pPr algn="ctr">
                      <a:defRPr/>
                    </a:pPr>
                    <a:fld id="{41fe9659-1ec4-4bd0-b1b1-28708a264ce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8"/>
              <c:tx>
                <c:rich>
                  <a:bodyPr vert="horz" rot="0" wrap="none" anchor="ctr"/>
                  <a:lstStyle/>
                  <a:p>
                    <a:pPr algn="ctr">
                      <a:defRPr/>
                    </a:pPr>
                    <a:fld id="{ffd60869-84b4-4623-b534-7ef4f63cba9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9"/>
              <c:tx>
                <c:rich>
                  <a:bodyPr vert="horz" rot="0" wrap="none" anchor="ctr"/>
                  <a:lstStyle/>
                  <a:p>
                    <a:pPr algn="ctr">
                      <a:defRPr/>
                    </a:pPr>
                    <a:fld id="{956bbf6d-7f46-48fd-b770-053621c5536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0"/>
              <c:tx>
                <c:rich>
                  <a:bodyPr vert="horz" rot="0" wrap="none" anchor="ctr"/>
                  <a:lstStyle/>
                  <a:p>
                    <a:pPr algn="ctr">
                      <a:defRPr/>
                    </a:pPr>
                    <a:fld id="{eb3430c6-a274-4ae1-a282-ae4b8f3ec30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1"/>
              <c:tx>
                <c:rich>
                  <a:bodyPr vert="horz" rot="0" wrap="none" anchor="ctr"/>
                  <a:lstStyle/>
                  <a:p>
                    <a:pPr algn="ctr">
                      <a:defRPr/>
                    </a:pPr>
                    <a:fld id="{dfc03c6b-5c9b-4eda-914c-7ad05c65b760}"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2"/>
              <c:tx>
                <c:rich>
                  <a:bodyPr vert="horz" rot="0" wrap="none" anchor="ctr"/>
                  <a:lstStyle/>
                  <a:p>
                    <a:pPr algn="ctr">
                      <a:defRPr/>
                    </a:pPr>
                    <a:fld id="{f64cf5fc-7f0f-4342-9999-0a42293d5f8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3"/>
              <c:tx>
                <c:rich>
                  <a:bodyPr vert="horz" rot="0" wrap="none" anchor="ctr"/>
                  <a:lstStyle/>
                  <a:p>
                    <a:pPr algn="ctr">
                      <a:defRPr/>
                    </a:pPr>
                    <a:fld id="{035c7cf0-7b7b-44a6-b8da-0581d5835835}"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4"/>
              <c:tx>
                <c:rich>
                  <a:bodyPr vert="horz" rot="0" wrap="none" anchor="ctr"/>
                  <a:lstStyle/>
                  <a:p>
                    <a:pPr algn="ctr">
                      <a:defRPr/>
                    </a:pPr>
                    <a:fld id="{c09c5e55-1f79-4ef1-8c88-81d5cb3fb09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5"/>
              <c:tx>
                <c:rich>
                  <a:bodyPr vert="horz" rot="0" wrap="none" anchor="ctr"/>
                  <a:lstStyle/>
                  <a:p>
                    <a:pPr algn="ctr">
                      <a:defRPr/>
                    </a:pPr>
                    <a:fld id="{a574bb7c-d61f-4d4a-b55f-caf4ec920d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6"/>
              <c:tx>
                <c:rich>
                  <a:bodyPr vert="horz" rot="0" wrap="none" anchor="ctr"/>
                  <a:lstStyle/>
                  <a:p>
                    <a:pPr algn="ctr">
                      <a:defRPr/>
                    </a:pPr>
                    <a:fld id="{a08e131d-17eb-4bb2-bfd5-772b09e9ce8b}"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7"/>
              <c:tx>
                <c:rich>
                  <a:bodyPr vert="horz" rot="0" wrap="none" anchor="ctr"/>
                  <a:lstStyle/>
                  <a:p>
                    <a:pPr algn="ctr">
                      <a:defRPr/>
                    </a:pPr>
                    <a:fld id="{5fc76e42-2c90-498f-afb8-287c78eb832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8"/>
              <c:tx>
                <c:rich>
                  <a:bodyPr vert="horz" rot="0" wrap="none" anchor="ctr"/>
                  <a:lstStyle/>
                  <a:p>
                    <a:pPr algn="ctr">
                      <a:defRPr/>
                    </a:pPr>
                    <a:fld id="{b72dfa1f-7afa-419d-a7b7-bf3306ebb1a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19"/>
              <c:tx>
                <c:rich>
                  <a:bodyPr vert="horz" rot="0" wrap="none" anchor="ctr"/>
                  <a:lstStyle/>
                  <a:p>
                    <a:pPr algn="ctr">
                      <a:defRPr/>
                    </a:pPr>
                    <a:fld id="{50f59866-c753-4820-937c-d8fefca7a34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0"/>
              <c:tx>
                <c:rich>
                  <a:bodyPr vert="horz" rot="0" wrap="none" anchor="ctr"/>
                  <a:lstStyle/>
                  <a:p>
                    <a:pPr algn="ctr">
                      <a:defRPr/>
                    </a:pPr>
                    <a:fld id="{e76e694c-d3af-40d9-a3ea-8dbd67fab40c}"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1"/>
              <c:tx>
                <c:rich>
                  <a:bodyPr vert="horz" rot="0" wrap="none" anchor="ctr"/>
                  <a:lstStyle/>
                  <a:p>
                    <a:pPr algn="ctr">
                      <a:defRPr/>
                    </a:pPr>
                    <a:fld id="{7479c20b-64ec-4c19-ba75-d4509733f326}"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2"/>
              <c:tx>
                <c:rich>
                  <a:bodyPr vert="horz" rot="0" wrap="none" anchor="ctr"/>
                  <a:lstStyle/>
                  <a:p>
                    <a:pPr algn="ctr">
                      <a:defRPr/>
                    </a:pPr>
                    <a:fld id="{b31aae2a-ec98-4166-af57-0557d2b65573}"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3"/>
              <c:tx>
                <c:rich>
                  <a:bodyPr vert="horz" rot="0" wrap="none" anchor="ctr"/>
                  <a:lstStyle/>
                  <a:p>
                    <a:pPr algn="ctr">
                      <a:defRPr/>
                    </a:pPr>
                    <a:fld id="{6ffbad53-4671-4625-adc0-b4f185b8cb5f}"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4"/>
              <c:tx>
                <c:rich>
                  <a:bodyPr vert="horz" rot="0" wrap="none" anchor="ctr"/>
                  <a:lstStyle/>
                  <a:p>
                    <a:pPr algn="ctr">
                      <a:defRPr/>
                    </a:pPr>
                    <a:fld id="{9bd8523f-f347-4c96-a9fe-beb11ffd7c22}"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5"/>
              <c:tx>
                <c:rich>
                  <a:bodyPr vert="horz" rot="0" wrap="none" anchor="ctr"/>
                  <a:lstStyle/>
                  <a:p>
                    <a:pPr algn="ctr">
                      <a:defRPr/>
                    </a:pPr>
                    <a:fld id="{dca090c0-0777-4b95-b081-d98b242c1837}"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6"/>
              <c:tx>
                <c:rich>
                  <a:bodyPr vert="horz" rot="0" wrap="none" anchor="ctr"/>
                  <a:lstStyle/>
                  <a:p>
                    <a:pPr algn="ctr">
                      <a:defRPr/>
                    </a:pPr>
                    <a:fld id="{7fa39cb4-59d0-45ab-9fda-3bf588c46cc1}"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dLbl>
              <c:idx val="27"/>
              <c:tx>
                <c:rich>
                  <a:bodyPr vert="horz" rot="0" wrap="none" anchor="ctr"/>
                  <a:lstStyle/>
                  <a:p>
                    <a:pPr algn="ctr">
                      <a:defRPr/>
                    </a:pPr>
                    <a:fld id="{08e89baa-b931-4783-81cb-999aa712f1ed}" type="CELLRANGE">
                      <a:rPr lang="en-US" cap="none" sz="1000" b="0" u="none" baseline="0">
                        <a:solidFill>
                          <a:srgbClr val="000000"/>
                        </a:solidFill>
                        <a:latin typeface="Arial"/>
                        <a:ea typeface="Arial"/>
                        <a:cs typeface="Arial"/>
                      </a:rPr>
                      <a:t/>
                    </a:fld>
                  </a:p>
                </c:rich>
              </c:tx>
              <c:spPr/>
              <c:dLblPos val="outEnd"/>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outEnd"/>
            <c:showLegendKey val="0"/>
            <c:showVal val="0"/>
            <c:showBubbleSize val="0"/>
            <c:showCatName val="0"/>
            <c:showSerName val="0"/>
            <c:showPercent val="0"/>
            <c:separator> </c:separator>
          </c:dLbls>
          <c:cat>
            <c:strRef>
              <c:f>Sortierung!$B$48:$B$75</c:f>
              <c:strCache/>
            </c:strRef>
          </c:cat>
          <c:val>
            <c:numRef>
              <c:f>Sortierung!$G$48:$G$75</c:f>
              <c:numCache/>
            </c:numRef>
          </c:val>
        </c:ser>
        <c:gapWidth val="100"/>
        <c:axId val="13954564"/>
        <c:axId val="58482213"/>
      </c:barChart>
      <c:catAx>
        <c:axId val="13954564"/>
        <c:scaling>
          <c:orientation val="minMax"/>
        </c:scaling>
        <c:axPos val="b"/>
        <c:delete val="0"/>
        <c:numFmt formatCode="General"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8482213"/>
        <c:crosses val="autoZero"/>
        <c:auto val="1"/>
        <c:lblOffset val="100"/>
        <c:noMultiLvlLbl val="0"/>
      </c:catAx>
      <c:valAx>
        <c:axId val="58482213"/>
        <c:scaling>
          <c:orientation val="minMax"/>
        </c:scaling>
        <c:axPos val="l"/>
        <c:majorGridlines>
          <c:spPr>
            <a:ln w="0">
              <a:solidFill>
                <a:srgbClr val="B3B3B3"/>
              </a:solidFill>
            </a:ln>
          </c:spPr>
        </c:majorGridlines>
        <c:delete val="0"/>
        <c:numFmt formatCode="#,##0&quot; €&quot;;\-#,##0&quot; €&quot;"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13954564"/>
        <c:crosses val="autoZero"/>
        <c:crossBetween val="between"/>
        <c:dispUnits/>
      </c:valAx>
      <c:spPr>
        <a:noFill/>
        <a:ln w="0">
          <a:solidFill>
            <a:srgbClr val="B3B3B3"/>
          </a:solidFill>
        </a:ln>
      </c:spPr>
    </c:plotArea>
    <c:plotVisOnly val="1"/>
    <c:dispBlanksAs val="gap"/>
    <c:showDLblsOverMax val="0"/>
  </c:chart>
  <c:spPr>
    <a:solidFill>
      <a:srgbClr val="FFFFFF"/>
    </a:solidFill>
    <a:ln w="0">
      <a:noFill/>
    </a:ln>
  </c:spPr>
  <c:lang xmlns:c="http://schemas.openxmlformats.org/drawingml/2006/chart" val="en-U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u="none" baseline="0">
                <a:solidFill>
                  <a:srgbClr val="000000"/>
                </a:solidFill>
                <a:latin typeface="Arial"/>
                <a:ea typeface="Arial"/>
                <a:cs typeface="Arial"/>
              </a:rPr>
              <a:t>CO2-Emission in Abhängigkeit vom Einergieverbrauch
(Größe der Bubbles entspricht spez. Wärmeverbrauch der Gebäude - Vorsicht: Vorläufige Berechnung !)</a:t>
            </a:r>
          </a:p>
        </c:rich>
      </c:tx>
      <c:layout/>
      <c:overlay val="0"/>
      <c:spPr>
        <a:noFill/>
        <a:ln w="0">
          <a:noFill/>
        </a:ln>
      </c:spPr>
    </c:title>
    <c:plotArea>
      <c:layout>
        <c:manualLayout>
          <c:layoutTarget val="inner"/>
          <c:xMode val="edge"/>
          <c:yMode val="edge"/>
          <c:x val="0.072"/>
          <c:y val="0.13425"/>
          <c:w val="0.7355"/>
          <c:h val="0.77175"/>
        </c:manualLayout>
      </c:layout>
      <c:bubbleChart>
        <c:varyColors val="0"/>
        <c:ser>
          <c:idx val="0"/>
          <c:order val="0"/>
          <c:tx>
            <c:strRef>
              <c:f>Sortierung!$B$4:$B$4</c:f>
              <c:strCache>
                <c:ptCount val="1"/>
                <c:pt idx="0">
                  <c:v>Stadtverwaltung  m. Feuerwehr (Br)</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b15d881-1d2e-4e27-b81a-c2e116be87a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Sortierung!$F$4:$F$4</c:f>
              <c:numCache/>
            </c:numRef>
          </c:xVal>
          <c:yVal>
            <c:numRef>
              <c:f>Sortierung!$H$4:$H$4</c:f>
              <c:numCache/>
            </c:numRef>
          </c:yVal>
          <c:bubbleSize>
            <c:numRef>
              <c:f>Sortierung!$J$4:$J$4</c:f>
              <c:numCache>
                <c:formatCode>General</c:formatCode>
                <c:ptCount val="1"/>
                <c:pt idx="0">
                  <c:v>125.481060920017</c:v>
                </c:pt>
              </c:numCache>
            </c:numRef>
          </c:bubbleSize>
        </c:ser>
        <c:ser>
          <c:idx val="1"/>
          <c:order val="1"/>
          <c:tx>
            <c:strRef>
              <c:f>Sortierung!$B$5:$B$5</c:f>
              <c:strCache>
                <c:ptCount val="1"/>
                <c:pt idx="0">
                  <c:v>Haus des Gastes, Seminargebäude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49a990f-d94b-4d95-8798-fbd34a9e55f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Sortierung!$F$5:$F$5</c:f>
              <c:numCache/>
            </c:numRef>
          </c:xVal>
          <c:yVal>
            <c:numRef>
              <c:f>Sortierung!$H$5:$H$5</c:f>
              <c:numCache/>
            </c:numRef>
          </c:yVal>
          <c:bubbleSize>
            <c:numRef>
              <c:f>Sortierung!$J$5:$J$5</c:f>
              <c:numCache>
                <c:formatCode>General</c:formatCode>
                <c:ptCount val="1"/>
                <c:pt idx="0">
                  <c:v>158.540543881335</c:v>
                </c:pt>
              </c:numCache>
            </c:numRef>
          </c:bubbleSize>
        </c:ser>
        <c:ser>
          <c:idx val="2"/>
          <c:order val="2"/>
          <c:tx>
            <c:strRef>
              <c:f>Sortierung!$B$44:$B$44</c:f>
              <c:strCache>
                <c:ptCount val="1"/>
                <c:pt idx="0">
                  <c:v>Dummy-Werte für Bubble-Graph</c:v>
                </c:pt>
              </c:strCache>
            </c:strRef>
          </c:tx>
          <c:spPr>
            <a:no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f8ebbfa-8770-4989-954f-bd236468ee9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Sortierung!$F$44:$F$44</c:f>
              <c:numCache/>
            </c:numRef>
          </c:xVal>
          <c:yVal>
            <c:numRef>
              <c:f>Sortierung!$H$44:$H$44</c:f>
              <c:numCache/>
            </c:numRef>
          </c:yVal>
          <c:bubbleSize>
            <c:numRef>
              <c:f>Sortierung!$J$44:$J$44</c:f>
              <c:numCache>
                <c:formatCode>General</c:formatCode>
                <c:ptCount val="1"/>
                <c:pt idx="0">
                  <c:v>5000</c:v>
                </c:pt>
              </c:numCache>
            </c:numRef>
          </c:bubbleSize>
        </c:ser>
        <c:ser>
          <c:idx val="3"/>
          <c:order val="3"/>
          <c:tx>
            <c:strRef>
              <c:f>Sortierung!$B$6:$B$6</c:f>
              <c:strCache>
                <c:ptCount val="1"/>
                <c:pt idx="0">
                  <c:v>MZH (Ti)</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27238c2-b6d7-421c-b43f-5c0fd216166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Sortierung!$F$6:$F$6</c:f>
              <c:numCache/>
            </c:numRef>
          </c:xVal>
          <c:yVal>
            <c:numRef>
              <c:f>Sortierung!$H$6:$H$6</c:f>
              <c:numCache/>
            </c:numRef>
          </c:yVal>
          <c:bubbleSize>
            <c:numRef>
              <c:f>Sortierung!$J$6:$J$6</c:f>
              <c:numCache>
                <c:formatCode>General</c:formatCode>
                <c:ptCount val="1"/>
                <c:pt idx="0">
                  <c:v>192.109816971714</c:v>
                </c:pt>
              </c:numCache>
            </c:numRef>
          </c:bubbleSize>
        </c:ser>
        <c:ser>
          <c:idx val="4"/>
          <c:order val="4"/>
          <c:tx>
            <c:strRef>
              <c:f>Sortierung!$B$9:$B$9</c:f>
              <c:strCache>
                <c:ptCount val="1"/>
                <c:pt idx="0">
                  <c:v>Kita Schlossmäuse Altbau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51100c5-cc86-463c-a1d0-126e184cfb6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Sortierung!$F$9:$F$9</c:f>
              <c:numCache/>
            </c:numRef>
          </c:xVal>
          <c:yVal>
            <c:numRef>
              <c:f>Sortierung!$H$9:$H$9</c:f>
              <c:numCache/>
            </c:numRef>
          </c:yVal>
          <c:bubbleSize>
            <c:numRef>
              <c:f>Sortierung!$J$9:$J$9</c:f>
              <c:numCache>
                <c:formatCode>General</c:formatCode>
                <c:ptCount val="1"/>
                <c:pt idx="0">
                  <c:v>128.375</c:v>
                </c:pt>
              </c:numCache>
            </c:numRef>
          </c:bubbleSize>
        </c:ser>
        <c:ser>
          <c:idx val="5"/>
          <c:order val="5"/>
          <c:tx>
            <c:strRef>
              <c:f>Sortierung!$B$10:$B$10</c:f>
              <c:strCache>
                <c:ptCount val="1"/>
                <c:pt idx="0">
                  <c:v>Gymnastikhalle (Ne)</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cbe6948e-8245-4007-bb6b-5fd23aeb86a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Sortierung!$F$10:$F$10</c:f>
              <c:numCache/>
            </c:numRef>
          </c:xVal>
          <c:yVal>
            <c:numRef>
              <c:f>Sortierung!$H$10:$H$10</c:f>
              <c:numCache/>
            </c:numRef>
          </c:yVal>
          <c:bubbleSize>
            <c:numRef>
              <c:f>Sortierung!$J$10:$J$10</c:f>
              <c:numCache>
                <c:formatCode>General</c:formatCode>
                <c:ptCount val="1"/>
                <c:pt idx="0">
                  <c:v>145.605263157895</c:v>
                </c:pt>
              </c:numCache>
            </c:numRef>
          </c:bubbleSize>
        </c:ser>
        <c:ser>
          <c:idx val="6"/>
          <c:order val="6"/>
          <c:tx>
            <c:strRef>
              <c:f>Sortierung!$B$8:$B$8</c:f>
              <c:strCache>
                <c:ptCount val="1"/>
                <c:pt idx="0">
                  <c:v>Mehrzweckhalle (Al)</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1559cd4-8bea-42e5-a9db-f0c9c887c2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Sortierung!$F$8:$F$8</c:f>
              <c:numCache/>
            </c:numRef>
          </c:xVal>
          <c:yVal>
            <c:numRef>
              <c:f>Sortierung!$H$8:$H$8</c:f>
              <c:numCache/>
            </c:numRef>
          </c:yVal>
          <c:bubbleSize>
            <c:numRef>
              <c:f>Sortierung!$J$8:$J$8</c:f>
              <c:numCache>
                <c:formatCode>General</c:formatCode>
                <c:ptCount val="1"/>
                <c:pt idx="0">
                  <c:v>95.2101265822785</c:v>
                </c:pt>
              </c:numCache>
            </c:numRef>
          </c:bubbleSize>
        </c:ser>
        <c:ser>
          <c:idx val="7"/>
          <c:order val="7"/>
          <c:tx>
            <c:strRef>
              <c:f>Sortierung!$B$7:$B$7</c:f>
              <c:strCache>
                <c:ptCount val="1"/>
                <c:pt idx="0">
                  <c:v>Stadtmuseum (Br)</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c842bb9-b71e-498f-9efb-c829be372531}"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Sortierung!$F$7:$F$7</c:f>
              <c:numCache/>
            </c:numRef>
          </c:xVal>
          <c:yVal>
            <c:numRef>
              <c:f>Sortierung!$H$7:$H$7</c:f>
              <c:numCache/>
            </c:numRef>
          </c:yVal>
          <c:bubbleSize>
            <c:numRef>
              <c:f>Sortierung!$J$7:$J$7</c:f>
              <c:numCache>
                <c:formatCode>General</c:formatCode>
                <c:ptCount val="1"/>
                <c:pt idx="0">
                  <c:v>303.972189349112</c:v>
                </c:pt>
              </c:numCache>
            </c:numRef>
          </c:bubbleSize>
        </c:ser>
        <c:ser>
          <c:idx val="8"/>
          <c:order val="8"/>
          <c:tx>
            <c:strRef>
              <c:f>Sortierung!$B$11:$B$11</c:f>
              <c:strCache>
                <c:ptCount val="1"/>
                <c:pt idx="0">
                  <c:v>Bauhof Werkstatt (Br)</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0288035-cc1f-4b39-81d1-6e93da9afb1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Sortierung!$F$11:$F$11</c:f>
              <c:numCache/>
            </c:numRef>
          </c:xVal>
          <c:yVal>
            <c:numRef>
              <c:f>Sortierung!$H$11:$H$11</c:f>
              <c:numCache/>
            </c:numRef>
          </c:yVal>
          <c:bubbleSize>
            <c:numRef>
              <c:f>Sortierung!$J$11:$J$11</c:f>
              <c:numCache>
                <c:formatCode>General</c:formatCode>
                <c:ptCount val="1"/>
                <c:pt idx="0">
                  <c:v>356.636923076923</c:v>
                </c:pt>
              </c:numCache>
            </c:numRef>
          </c:bubbleSize>
        </c:ser>
        <c:ser>
          <c:idx val="9"/>
          <c:order val="9"/>
          <c:tx>
            <c:strRef>
              <c:f>Sortierung!$B$12:$B$12</c:f>
              <c:strCache>
                <c:ptCount val="1"/>
                <c:pt idx="0">
                  <c:v>Mehrzweckhalle (Bo)</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1e0cb2-7c2d-4ecf-bd05-aa1aa35ac4f4}"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Sortierung!$F$12:$F$12</c:f>
              <c:numCache/>
            </c:numRef>
          </c:xVal>
          <c:yVal>
            <c:numRef>
              <c:f>Sortierung!$H$12:$H$12</c:f>
              <c:numCache/>
            </c:numRef>
          </c:yVal>
          <c:bubbleSize>
            <c:numRef>
              <c:f>Sortierung!$J$12:$J$12</c:f>
              <c:numCache>
                <c:formatCode>General</c:formatCode>
                <c:ptCount val="1"/>
                <c:pt idx="0">
                  <c:v>115.211210191083</c:v>
                </c:pt>
              </c:numCache>
            </c:numRef>
          </c:bubbleSize>
        </c:ser>
        <c:ser>
          <c:idx val="10"/>
          <c:order val="10"/>
          <c:tx>
            <c:strRef>
              <c:f>Sortierung!$B$13:$B$13</c:f>
              <c:strCache>
                <c:ptCount val="1"/>
                <c:pt idx="0">
                  <c:v>Dorfgemeinschaftshaus (Ne)</c:v>
                </c:pt>
              </c:strCache>
            </c:strRef>
          </c:tx>
          <c:spPr>
            <a:solidFill>
              <a:srgbClr val="C5000B"/>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2a7f7ca-a501-41b4-8f95-f8ef57d6edad}"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Sortierung!$F$13:$F$13</c:f>
              <c:numCache/>
            </c:numRef>
          </c:xVal>
          <c:yVal>
            <c:numRef>
              <c:f>Sortierung!$H$13:$H$13</c:f>
              <c:numCache/>
            </c:numRef>
          </c:yVal>
          <c:bubbleSize>
            <c:numRef>
              <c:f>Sortierung!$J$13:$J$13</c:f>
              <c:numCache>
                <c:formatCode>General</c:formatCode>
                <c:ptCount val="1"/>
                <c:pt idx="0">
                  <c:v>140.985365853659</c:v>
                </c:pt>
              </c:numCache>
            </c:numRef>
          </c:bubbleSize>
        </c:ser>
        <c:ser>
          <c:idx val="11"/>
          <c:order val="11"/>
          <c:tx>
            <c:strRef>
              <c:f>Sortierung!$B$15:$B$15</c:f>
              <c:strCache>
                <c:ptCount val="1"/>
                <c:pt idx="0">
                  <c:v>Schwimmbad (Br)</c:v>
                </c:pt>
              </c:strCache>
            </c:strRef>
          </c:tx>
          <c:spPr>
            <a:solidFill>
              <a:srgbClr val="0084D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34ff91e3-4ff1-4b92-a4f7-e4b1ef06ac89}"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Sortierung!$F$15:$F$15</c:f>
              <c:numCache/>
            </c:numRef>
          </c:xVal>
          <c:yVal>
            <c:numRef>
              <c:f>Sortierung!$H$15:$H$15</c:f>
              <c:numCache/>
            </c:numRef>
          </c:yVal>
          <c:bubbleSize>
            <c:numRef>
              <c:f>Sortierung!$J$15:$J$15</c:f>
              <c:numCache>
                <c:formatCode>General</c:formatCode>
                <c:ptCount val="1"/>
                <c:pt idx="0">
                  <c:v>0</c:v>
                </c:pt>
              </c:numCache>
            </c:numRef>
          </c:bubbleSize>
        </c:ser>
        <c:ser>
          <c:idx val="12"/>
          <c:order val="12"/>
          <c:tx>
            <c:strRef>
              <c:f>Sortierung!$B$16:$B$16</c:f>
              <c:strCache>
                <c:ptCount val="1"/>
                <c:pt idx="0">
                  <c:v>Kindergarten (Bo)</c:v>
                </c:pt>
              </c:strCache>
            </c:strRef>
          </c:tx>
          <c:spPr>
            <a:solidFill>
              <a:srgbClr val="004586"/>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726085fc-21c0-421d-bd99-bd932159321e}"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Sortierung!$F$16:$F$16</c:f>
              <c:numCache/>
            </c:numRef>
          </c:xVal>
          <c:yVal>
            <c:numRef>
              <c:f>Sortierung!$H$16:$H$16</c:f>
              <c:numCache/>
            </c:numRef>
          </c:yVal>
          <c:bubbleSize>
            <c:numRef>
              <c:f>Sortierung!$J$16:$J$16</c:f>
              <c:numCache>
                <c:formatCode>General</c:formatCode>
                <c:ptCount val="1"/>
                <c:pt idx="0">
                  <c:v>74.521226993865</c:v>
                </c:pt>
              </c:numCache>
            </c:numRef>
          </c:bubbleSize>
        </c:ser>
        <c:ser>
          <c:idx val="13"/>
          <c:order val="13"/>
          <c:tx>
            <c:strRef>
              <c:f>Sortierung!$B$17:$B$17</c:f>
              <c:strCache>
                <c:ptCount val="1"/>
                <c:pt idx="0">
                  <c:v>ehem. Sparkassengebäude (Br)</c:v>
                </c:pt>
              </c:strCache>
            </c:strRef>
          </c:tx>
          <c:spPr>
            <a:solidFill>
              <a:srgbClr val="FF420E"/>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037315cc-2887-48e7-ba48-db3a1f94b47c}"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Sortierung!$F$17:$F$17</c:f>
              <c:numCache/>
            </c:numRef>
          </c:xVal>
          <c:yVal>
            <c:numRef>
              <c:f>Sortierung!$H$17:$H$17</c:f>
              <c:numCache/>
            </c:numRef>
          </c:yVal>
          <c:bubbleSize>
            <c:numRef>
              <c:f>Sortierung!$J$17:$J$17</c:f>
              <c:numCache>
                <c:formatCode>General</c:formatCode>
                <c:ptCount val="1"/>
                <c:pt idx="0">
                  <c:v>131.404377880184</c:v>
                </c:pt>
              </c:numCache>
            </c:numRef>
          </c:bubbleSize>
        </c:ser>
        <c:ser>
          <c:idx val="14"/>
          <c:order val="14"/>
          <c:tx>
            <c:strRef>
              <c:f>Sortierung!$B$18:$B$18</c:f>
              <c:strCache>
                <c:ptCount val="1"/>
                <c:pt idx="0">
                  <c:v>Bauhof Büro (Br)</c:v>
                </c:pt>
              </c:strCache>
            </c:strRef>
          </c:tx>
          <c:spPr>
            <a:solidFill>
              <a:srgbClr val="FFD32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18b32106-0cbb-43de-8798-d31c11a481b5}"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Sortierung!$F$18:$F$18</c:f>
              <c:numCache/>
            </c:numRef>
          </c:xVal>
          <c:yVal>
            <c:numRef>
              <c:f>Sortierung!$H$18:$H$18</c:f>
              <c:numCache/>
            </c:numRef>
          </c:yVal>
          <c:bubbleSize>
            <c:numRef>
              <c:f>Sortierung!$J$18:$J$18</c:f>
              <c:numCache>
                <c:formatCode>General</c:formatCode>
                <c:ptCount val="1"/>
                <c:pt idx="0">
                  <c:v>233.453043478261</c:v>
                </c:pt>
              </c:numCache>
            </c:numRef>
          </c:bubbleSize>
        </c:ser>
        <c:ser>
          <c:idx val="15"/>
          <c:order val="15"/>
          <c:tx>
            <c:strRef>
              <c:f>Sortierung!$B$19:$B$19</c:f>
              <c:strCache>
                <c:ptCount val="1"/>
                <c:pt idx="0">
                  <c:v>Kindergarten (Al)</c:v>
                </c:pt>
              </c:strCache>
            </c:strRef>
          </c:tx>
          <c:spPr>
            <a:solidFill>
              <a:srgbClr val="579D1C"/>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6405b02f-cb23-488e-9010-1e3c303849a7}"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Sortierung!$F$19:$F$19</c:f>
              <c:numCache/>
            </c:numRef>
          </c:xVal>
          <c:yVal>
            <c:numRef>
              <c:f>Sortierung!$H$19:$H$19</c:f>
              <c:numCache/>
            </c:numRef>
          </c:yVal>
          <c:bubbleSize>
            <c:numRef>
              <c:f>Sortierung!$J$19:$J$19</c:f>
              <c:numCache>
                <c:formatCode>General</c:formatCode>
                <c:ptCount val="1"/>
                <c:pt idx="0">
                  <c:v>139.203349310504</c:v>
                </c:pt>
              </c:numCache>
            </c:numRef>
          </c:bubbleSize>
        </c:ser>
        <c:ser>
          <c:idx val="16"/>
          <c:order val="16"/>
          <c:tx>
            <c:strRef>
              <c:f>Sortierung!$B$20:$B$20</c:f>
              <c:strCache>
                <c:ptCount val="1"/>
                <c:pt idx="0">
                  <c:v>Mehrzweckhalle, Vereinsraum (Ph)</c:v>
                </c:pt>
              </c:strCache>
            </c:strRef>
          </c:tx>
          <c:spPr>
            <a:solidFill>
              <a:srgbClr val="7E0021"/>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511499fa-81b1-47b3-85ba-44b82fa4ac60}"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Sortierung!$F$20:$F$20</c:f>
              <c:numCache/>
            </c:numRef>
          </c:xVal>
          <c:yVal>
            <c:numRef>
              <c:f>Sortierung!$H$20:$H$20</c:f>
              <c:numCache/>
            </c:numRef>
          </c:yVal>
          <c:bubbleSize>
            <c:numRef>
              <c:f>Sortierung!$J$20:$J$20</c:f>
              <c:numCache>
                <c:formatCode>General</c:formatCode>
                <c:ptCount val="1"/>
                <c:pt idx="0">
                  <c:v>530.834285714286</c:v>
                </c:pt>
              </c:numCache>
            </c:numRef>
          </c:bubbleSize>
        </c:ser>
        <c:ser>
          <c:idx val="17"/>
          <c:order val="17"/>
          <c:tx>
            <c:strRef>
              <c:f>Sortierung!$B$21:$B$21</c:f>
              <c:strCache>
                <c:ptCount val="1"/>
                <c:pt idx="0">
                  <c:v>Sportanlagen Umkleide FSV (Br)</c:v>
                </c:pt>
              </c:strCache>
            </c:strRef>
          </c:tx>
          <c:spPr>
            <a:solidFill>
              <a:srgbClr val="83CAF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d0e60d30-488f-4cd3-816f-4eca0ec37b08}"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Sortierung!$F$21:$F$21</c:f>
              <c:numCache/>
            </c:numRef>
          </c:xVal>
          <c:yVal>
            <c:numRef>
              <c:f>Sortierung!$H$21:$H$21</c:f>
              <c:numCache/>
            </c:numRef>
          </c:yVal>
          <c:bubbleSize>
            <c:numRef>
              <c:f>Sortierung!$J$21:$J$21</c:f>
              <c:numCache>
                <c:formatCode>General</c:formatCode>
                <c:ptCount val="1"/>
                <c:pt idx="0">
                  <c:v>0</c:v>
                </c:pt>
              </c:numCache>
            </c:numRef>
          </c:bubbleSize>
        </c:ser>
        <c:ser>
          <c:idx val="18"/>
          <c:order val="18"/>
          <c:tx>
            <c:strRef>
              <c:f>Sortierung!$B$22:$B$22</c:f>
              <c:strCache>
                <c:ptCount val="1"/>
                <c:pt idx="0">
                  <c:v>Kurparktreff (Br)</c:v>
                </c:pt>
              </c:strCache>
            </c:strRef>
          </c:tx>
          <c:spPr>
            <a:solidFill>
              <a:srgbClr val="314004"/>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2061f0cf-8964-4400-be52-3fe42fe9497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Sortierung!$F$22:$F$22</c:f>
              <c:numCache/>
            </c:numRef>
          </c:xVal>
          <c:yVal>
            <c:numRef>
              <c:f>Sortierung!$H$22:$H$22</c:f>
              <c:numCache/>
            </c:numRef>
          </c:yVal>
          <c:bubbleSize>
            <c:numRef>
              <c:f>Sortierung!$J$22:$J$22</c:f>
              <c:numCache>
                <c:formatCode>General</c:formatCode>
                <c:ptCount val="1"/>
                <c:pt idx="0">
                  <c:v>124.863846153846</c:v>
                </c:pt>
              </c:numCache>
            </c:numRef>
          </c:bubbleSize>
        </c:ser>
        <c:ser>
          <c:idx val="19"/>
          <c:order val="19"/>
          <c:tx>
            <c:strRef>
              <c:f>Sortierung!$B$23:$B$23</c:f>
              <c:strCache>
                <c:ptCount val="1"/>
                <c:pt idx="0">
                  <c:v>Feuerwehrgerätehaus (Ph)</c:v>
                </c:pt>
              </c:strCache>
            </c:strRef>
          </c:tx>
          <c:spPr>
            <a:solidFill>
              <a:srgbClr val="AECF00"/>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9ef3e0d3-88c2-4340-89b4-65292c1f15da}"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Sortierung!$F$23:$F$23</c:f>
              <c:numCache/>
            </c:numRef>
          </c:xVal>
          <c:yVal>
            <c:numRef>
              <c:f>Sortierung!$H$23:$H$23</c:f>
              <c:numCache/>
            </c:numRef>
          </c:yVal>
          <c:bubbleSize>
            <c:numRef>
              <c:f>Sortierung!$J$23:$J$23</c:f>
              <c:numCache>
                <c:formatCode>General</c:formatCode>
                <c:ptCount val="1"/>
                <c:pt idx="0">
                  <c:v>68.965726681128</c:v>
                </c:pt>
              </c:numCache>
            </c:numRef>
          </c:bubbleSize>
        </c:ser>
        <c:ser>
          <c:idx val="20"/>
          <c:order val="20"/>
          <c:tx>
            <c:strRef>
              <c:f>Sortierung!$B$24:$B$24</c:f>
              <c:strCache>
                <c:ptCount val="1"/>
                <c:pt idx="0">
                  <c:v>Haus des Gastes kl. Saal (Br)</c:v>
                </c:pt>
              </c:strCache>
            </c:strRef>
          </c:tx>
          <c:spPr>
            <a:solidFill>
              <a:srgbClr val="4B1F6F"/>
            </a:solidFill>
            <a:ln w="0">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wrap="none" anchor="ctr"/>
                  <a:lstStyle/>
                  <a:p>
                    <a:pPr algn="ctr">
                      <a:defRPr/>
                    </a:pPr>
                    <a:fld id="{48955192-cf22-4a51-802a-85695f48cb92}" type="CELLRANGE">
                      <a:rPr lang="en-US" cap="none" sz="1000" b="0" u="none" baseline="0">
                        <a:solidFill>
                          <a:srgbClr val="000000"/>
                        </a:solidFill>
                        <a:latin typeface="Arial"/>
                        <a:ea typeface="Arial"/>
                        <a:cs typeface="Arial"/>
                      </a:rPr>
                      <a:t/>
                    </a:fld>
                  </a:p>
                </c:rich>
              </c:tx>
              <c:spPr/>
              <c:dLblPos val="r"/>
              <c:showLegendKey val="0"/>
              <c:showVal val="0"/>
              <c:showBubbleSize val="0"/>
              <c:showCatName val="0"/>
              <c:showSerName val="0"/>
              <c:showPercent val="0"/>
              <c:separator> </c:separator>
            </c:dLbl>
            <c:numFmt formatCode="General" sourceLinked="1"/>
            <c:txPr>
              <a:bodyPr vert="horz" rot="0" wrap="none" anchor="ctr"/>
              <a:lstStyle/>
              <a:p>
                <a:pPr algn="ctr">
                  <a:defRPr lang="en-US" cap="none" sz="1000" b="0" u="none" baseline="0">
                    <a:solidFill>
                      <a:srgbClr val="000000"/>
                    </a:solidFill>
                    <a:latin typeface="Arial"/>
                    <a:ea typeface="Arial"/>
                    <a:cs typeface="Arial"/>
                  </a:defRPr>
                </a:pPr>
              </a:p>
            </c:txPr>
            <c:dLblPos val="r"/>
            <c:showLegendKey val="0"/>
            <c:showVal val="0"/>
            <c:showBubbleSize val="0"/>
            <c:showCatName val="0"/>
            <c:showSerName val="0"/>
            <c:showPercent val="0"/>
            <c:separator> </c:separator>
          </c:dLbls>
          <c:xVal>
            <c:numRef>
              <c:f>Sortierung!$F$24:$F$24</c:f>
              <c:numCache/>
            </c:numRef>
          </c:xVal>
          <c:yVal>
            <c:numRef>
              <c:f>Sortierung!$H$24:$H$24</c:f>
              <c:numCache/>
            </c:numRef>
          </c:yVal>
          <c:bubbleSize>
            <c:numRef>
              <c:f>Sortierung!$J$24:$J$24</c:f>
              <c:numCache>
                <c:formatCode>General</c:formatCode>
                <c:ptCount val="1"/>
                <c:pt idx="0">
                  <c:v>21.3002570694087</c:v>
                </c:pt>
              </c:numCache>
            </c:numRef>
          </c:bubbleSize>
        </c:ser>
        <c:axId val="56577870"/>
        <c:axId val="39438783"/>
      </c:bubbleChart>
      <c:valAx>
        <c:axId val="56577870"/>
        <c:scaling>
          <c:orientation val="minMax"/>
        </c:scaling>
        <c:axPos val="b"/>
        <c:title>
          <c:tx>
            <c:rich>
              <a:bodyPr vert="horz" rot="0" anchor="ctr"/>
              <a:lstStyle/>
              <a:p>
                <a:pPr algn="ctr">
                  <a:defRPr/>
                </a:pPr>
                <a:r>
                  <a:rPr lang="en-US" cap="none" sz="900" b="0" u="none" baseline="0">
                    <a:solidFill>
                      <a:srgbClr val="000000"/>
                    </a:solidFill>
                    <a:latin typeface="Arial"/>
                    <a:ea typeface="Arial"/>
                    <a:cs typeface="Arial"/>
                  </a:rPr>
                  <a:t>Energieverbrauch [kWh/a]</a:t>
                </a:r>
              </a:p>
            </c:rich>
          </c:tx>
          <c:layout/>
          <c:overlay val="0"/>
          <c:spPr>
            <a:noFill/>
            <a:ln w="0">
              <a:noFill/>
            </a:ln>
          </c:spPr>
        </c:title>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39438783"/>
        <c:crosses val="autoZero"/>
        <c:crossBetween val="midCat"/>
        <c:dispUnits/>
      </c:valAx>
      <c:valAx>
        <c:axId val="39438783"/>
        <c:scaling>
          <c:orientation val="minMax"/>
        </c:scaling>
        <c:axPos val="l"/>
        <c:title>
          <c:tx>
            <c:rich>
              <a:bodyPr vert="horz" rot="-5400000" anchor="ctr"/>
              <a:lstStyle/>
              <a:p>
                <a:pPr algn="ctr">
                  <a:defRPr/>
                </a:pPr>
                <a:r>
                  <a:rPr lang="en-US" cap="none" sz="900" b="0" u="none" baseline="0">
                    <a:solidFill>
                      <a:srgbClr val="000000"/>
                    </a:solidFill>
                    <a:latin typeface="Arial"/>
                    <a:ea typeface="Arial"/>
                    <a:cs typeface="Arial"/>
                  </a:rPr>
                  <a:t>CO2-Emission [kg / a]</a:t>
                </a:r>
              </a:p>
            </c:rich>
          </c:tx>
          <c:layout/>
          <c:overlay val="0"/>
          <c:spPr>
            <a:noFill/>
            <a:ln w="0">
              <a:noFill/>
            </a:ln>
          </c:spPr>
        </c:title>
        <c:majorGridlines>
          <c:spPr>
            <a:ln w="0">
              <a:solidFill>
                <a:srgbClr val="B3B3B3"/>
              </a:solidFill>
            </a:ln>
          </c:spPr>
        </c:majorGridlines>
        <c:delete val="0"/>
        <c:numFmt formatCode="#,##0" sourceLinked="0"/>
        <c:majorTickMark val="out"/>
        <c:minorTickMark val="none"/>
        <c:tickLblPos val="nextTo"/>
        <c:spPr>
          <a:ln w="0">
            <a:solidFill>
              <a:srgbClr val="B3B3B3"/>
            </a:solidFill>
          </a:ln>
        </c:spPr>
        <c:txPr>
          <a:bodyPr/>
          <a:lstStyle/>
          <a:p>
            <a:pPr>
              <a:defRPr lang="en-US" cap="none" sz="1000" b="0" u="none" baseline="0">
                <a:solidFill>
                  <a:srgbClr val="000000"/>
                </a:solidFill>
                <a:latin typeface="Arial"/>
                <a:ea typeface="Arial"/>
                <a:cs typeface="Arial"/>
              </a:defRPr>
            </a:pPr>
          </a:p>
        </c:txPr>
        <c:crossAx val="56577870"/>
        <c:crosses val="autoZero"/>
        <c:crossBetween val="midCat"/>
        <c:dispUnits/>
      </c:valAx>
      <c:spPr>
        <a:noFill/>
        <a:ln w="0">
          <a:solidFill>
            <a:srgbClr val="B3B3B3"/>
          </a:solidFill>
        </a:ln>
      </c:spPr>
    </c:plotArea>
    <c:legend>
      <c:legendPos val="r"/>
      <c:legendEntry>
        <c:idx val="2"/>
        <c:delete val="1"/>
      </c:legendEntry>
      <c:layout>
        <c:manualLayout>
          <c:xMode val="edge"/>
          <c:yMode val="edge"/>
          <c:x val="0.81125"/>
          <c:y val="0.26525"/>
          <c:w val="0.178"/>
          <c:h val="0.37975"/>
        </c:manualLayout>
      </c:layout>
      <c:overlay val="0"/>
      <c:spPr>
        <a:noFill/>
        <a:ln w="0">
          <a:noFill/>
        </a:ln>
      </c:spPr>
      <c:txPr>
        <a:bodyPr vert="horz" rot="0"/>
        <a:lstStyle/>
        <a:p>
          <a:pPr>
            <a:defRPr lang="en-US" cap="none" sz="1000" b="0" u="none" baseline="0">
              <a:solidFill>
                <a:srgbClr val="000000"/>
              </a:solidFill>
              <a:latin typeface="Arial"/>
              <a:ea typeface="Arial"/>
              <a:cs typeface="Arial"/>
            </a:defRPr>
          </a:pPr>
        </a:p>
      </c:txPr>
    </c:legend>
    <c:plotVisOnly val="1"/>
    <c:dispBlanksAs val="gap"/>
    <c:showDLblsOverMax val="0"/>
  </c:chart>
  <c:spPr>
    <a:solidFill>
      <a:srgbClr val="FFFFFF"/>
    </a:solidFill>
    <a:ln w="0">
      <a:noFill/>
    </a:ln>
  </c:spPr>
  <c:lang xmlns:c="http://schemas.openxmlformats.org/drawingml/2006/chart" val="en-US"/>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4</xdr:row>
      <xdr:rowOff>38100</xdr:rowOff>
    </xdr:from>
    <xdr:to>
      <xdr:col>3</xdr:col>
      <xdr:colOff>257175</xdr:colOff>
      <xdr:row>15</xdr:row>
      <xdr:rowOff>104775</xdr:rowOff>
    </xdr:to>
    <xdr:pic>
      <xdr:nvPicPr>
        <xdr:cNvPr id="0" name="Bild 4"/>
        <xdr:cNvPicPr preferRelativeResize="1">
          <a:picLocks noChangeAspect="1"/>
        </xdr:cNvPicPr>
      </xdr:nvPicPr>
      <xdr:blipFill>
        <a:blip r:embed="rId1"/>
        <a:stretch>
          <a:fillRect/>
        </a:stretch>
      </xdr:blipFill>
      <xdr:spPr>
        <a:xfrm>
          <a:off x="781050" y="819150"/>
          <a:ext cx="1819275" cy="1847850"/>
        </a:xfrm>
        <a:prstGeom prst="rect">
          <a:avLst/>
        </a:prstGeom>
        <a:ln w="0">
          <a:noFill/>
        </a:ln>
      </xdr:spPr>
    </xdr:pic>
    <xdr:clientData/>
  </xdr:twoCellAnchor>
  <xdr:twoCellAnchor editAs="absolute">
    <xdr:from>
      <xdr:col>0</xdr:col>
      <xdr:colOff>733425</xdr:colOff>
      <xdr:row>23</xdr:row>
      <xdr:rowOff>38100</xdr:rowOff>
    </xdr:from>
    <xdr:to>
      <xdr:col>3</xdr:col>
      <xdr:colOff>533400</xdr:colOff>
      <xdr:row>34</xdr:row>
      <xdr:rowOff>95250</xdr:rowOff>
    </xdr:to>
    <xdr:pic>
      <xdr:nvPicPr>
        <xdr:cNvPr id="1" name="Bild 2"/>
        <xdr:cNvPicPr preferRelativeResize="1">
          <a:picLocks noChangeAspect="1"/>
        </xdr:cNvPicPr>
      </xdr:nvPicPr>
      <xdr:blipFill>
        <a:blip r:embed="rId2"/>
        <a:stretch>
          <a:fillRect/>
        </a:stretch>
      </xdr:blipFill>
      <xdr:spPr>
        <a:xfrm>
          <a:off x="733425" y="3895725"/>
          <a:ext cx="2143125" cy="1838325"/>
        </a:xfrm>
        <a:prstGeom prst="rect">
          <a:avLst/>
        </a:prstGeom>
        <a:ln w="0">
          <a:noFill/>
        </a:ln>
      </xdr:spPr>
    </xdr:pic>
    <xdr:clientData/>
  </xdr:twoCellAnchor>
  <xdr:twoCellAnchor editAs="absolute">
    <xdr:from>
      <xdr:col>7</xdr:col>
      <xdr:colOff>228600</xdr:colOff>
      <xdr:row>23</xdr:row>
      <xdr:rowOff>76200</xdr:rowOff>
    </xdr:from>
    <xdr:to>
      <xdr:col>10</xdr:col>
      <xdr:colOff>0</xdr:colOff>
      <xdr:row>38</xdr:row>
      <xdr:rowOff>142875</xdr:rowOff>
    </xdr:to>
    <xdr:pic>
      <xdr:nvPicPr>
        <xdr:cNvPr id="2" name="Bild 3"/>
        <xdr:cNvPicPr preferRelativeResize="1">
          <a:picLocks noChangeAspect="1"/>
        </xdr:cNvPicPr>
      </xdr:nvPicPr>
      <xdr:blipFill>
        <a:blip r:embed="rId3"/>
        <a:stretch>
          <a:fillRect/>
        </a:stretch>
      </xdr:blipFill>
      <xdr:spPr>
        <a:xfrm>
          <a:off x="5695950" y="3933825"/>
          <a:ext cx="2114550" cy="249555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123825</xdr:rowOff>
    </xdr:from>
    <xdr:ext cx="8077200" cy="4495800"/>
    <xdr:graphicFrame>
      <xdr:nvGraphicFramePr>
        <xdr:cNvPr id="3" name="Diagramm 3"/>
        <xdr:cNvGraphicFramePr/>
      </xdr:nvGraphicFramePr>
      <xdr:xfrm>
        <a:off x="19050" y="647700"/>
        <a:ext cx="8077200" cy="4495800"/>
      </xdr:xfrm>
      <a:graphic>
        <a:graphicData uri="http://schemas.openxmlformats.org/drawingml/2006/chart">
          <c:chart xmlns:c="http://schemas.openxmlformats.org/drawingml/2006/chart" r:id="rId1"/>
        </a:graphicData>
      </a:graphic>
    </xdr:graphicFrame>
    <xdr:clientData/>
  </xdr:oneCellAnchor>
  <xdr:oneCellAnchor>
    <xdr:from>
      <xdr:col>0</xdr:col>
      <xdr:colOff>0</xdr:colOff>
      <xdr:row>57</xdr:row>
      <xdr:rowOff>66675</xdr:rowOff>
    </xdr:from>
    <xdr:ext cx="8591550" cy="5638800"/>
    <xdr:graphicFrame>
      <xdr:nvGraphicFramePr>
        <xdr:cNvPr id="4" name="Diagramm 4_0"/>
        <xdr:cNvGraphicFramePr/>
      </xdr:nvGraphicFramePr>
      <xdr:xfrm>
        <a:off x="0" y="9829800"/>
        <a:ext cx="8591550" cy="5638800"/>
      </xdr:xfrm>
      <a:graphic>
        <a:graphicData uri="http://schemas.openxmlformats.org/drawingml/2006/chart">
          <c:chart xmlns:c="http://schemas.openxmlformats.org/drawingml/2006/chart" r:id="rId2"/>
        </a:graphicData>
      </a:graphic>
    </xdr:graphicFrame>
    <xdr:clientData/>
  </xdr:oneCellAnchor>
  <xdr:oneCellAnchor>
    <xdr:from>
      <xdr:col>0</xdr:col>
      <xdr:colOff>9525</xdr:colOff>
      <xdr:row>29</xdr:row>
      <xdr:rowOff>0</xdr:rowOff>
    </xdr:from>
    <xdr:ext cx="8162925" cy="4524375"/>
    <xdr:graphicFrame>
      <xdr:nvGraphicFramePr>
        <xdr:cNvPr id="5" name="Diagramm 5_0"/>
        <xdr:cNvGraphicFramePr/>
      </xdr:nvGraphicFramePr>
      <xdr:xfrm>
        <a:off x="9525" y="5095875"/>
        <a:ext cx="8162925" cy="4524375"/>
      </xdr:xfrm>
      <a:graphic>
        <a:graphicData uri="http://schemas.openxmlformats.org/drawingml/2006/chart">
          <c:chart xmlns:c="http://schemas.openxmlformats.org/drawingml/2006/chart" r:id="rId3"/>
        </a:graphicData>
      </a:graphic>
    </xdr:graphicFrame>
    <xdr:clientData/>
  </xdr:oneCellAnchor>
  <xdr:oneCellAnchor>
    <xdr:from>
      <xdr:col>0</xdr:col>
      <xdr:colOff>0</xdr:colOff>
      <xdr:row>96</xdr:row>
      <xdr:rowOff>76200</xdr:rowOff>
    </xdr:from>
    <xdr:ext cx="10972800" cy="6486525"/>
    <xdr:graphicFrame>
      <xdr:nvGraphicFramePr>
        <xdr:cNvPr id="6" name="Diagramm 6_0"/>
        <xdr:cNvGraphicFramePr/>
      </xdr:nvGraphicFramePr>
      <xdr:xfrm>
        <a:off x="0" y="16354425"/>
        <a:ext cx="10972800" cy="6486525"/>
      </xdr:xfrm>
      <a:graphic>
        <a:graphicData uri="http://schemas.openxmlformats.org/drawingml/2006/chart">
          <c:chart xmlns:c="http://schemas.openxmlformats.org/drawingml/2006/chart" r:id="rId4"/>
        </a:graphicData>
      </a:graphic>
    </xdr:graphicFrame>
    <xdr:clientData/>
  </xdr:oneCellAnchor>
</xdr:wsDr>
</file>

<file path=xl/tables/table1.xml><?xml version="1.0" encoding="utf-8"?>
<table xmlns="http://schemas.openxmlformats.org/spreadsheetml/2006/main" id="1" name="Sortiert" displayName="Sortiert" ref="B4:G143" headerRowCount="0" totalsRowShown="0">
  <tableColumns count="6">
    <tableColumn id="1" name="Spalte1"/>
    <tableColumn id="2" name="Spalte2"/>
    <tableColumn id="3" name="Spalte3"/>
    <tableColumn id="4" name="Spalte4"/>
    <tableColumn id="5" name="Spalte5"/>
    <tableColumn id="6" name="Spalte6"/>
  </tableColumns>
  <tableStyleInfo showFirstColumn="0" showLastColumn="0" showRowStripes="1" showColumnStripes="0"/>
</tabl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ww.ise.fraunhofer.de/content/dam/ise/de/downloads/pdf/Forschungsprojekte/BMWi-03ET1272A-WPsmart_im_Bestand-Schlussbericht.pdf" TargetMode="External" /><Relationship Id="rId2" Type="http://schemas.openxmlformats.org/officeDocument/2006/relationships/hyperlink" Target="https://de.wikipedia.org/wiki/Treibhauspotential"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L60"/>
  <sheetViews>
    <sheetView tabSelected="1" zoomScale="85" zoomScaleNormal="85" workbookViewId="0" topLeftCell="A1">
      <selection activeCell="E14" sqref="E14"/>
    </sheetView>
  </sheetViews>
  <sheetFormatPr defaultColWidth="11.7109375" defaultRowHeight="12.75"/>
  <cols>
    <col min="1" max="16" width="5.57421875" style="0" customWidth="1"/>
    <col min="17" max="17" width="5.7109375" style="0" customWidth="1"/>
    <col min="18" max="33" width="5.57421875" style="0" customWidth="1"/>
    <col min="34" max="34" width="29.28125" style="0" customWidth="1"/>
    <col min="35" max="38" width="5.57421875" style="0" customWidth="1"/>
  </cols>
  <sheetData>
    <row r="1" spans="1:38" ht="12.75">
      <c r="A1" s="1"/>
      <c r="B1" s="2"/>
      <c r="C1" s="2"/>
      <c r="D1" s="2"/>
      <c r="E1" s="3"/>
      <c r="F1" s="2"/>
      <c r="G1" s="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ht="23.25">
      <c r="D2" s="4" t="s">
        <v>0</v>
      </c>
    </row>
    <row r="4" spans="2:5" ht="19.7">
      <c r="B4" s="5"/>
      <c r="E4" s="6" t="s">
        <v>1</v>
      </c>
    </row>
    <row r="6" ht="15">
      <c r="E6" s="7" t="s">
        <v>2</v>
      </c>
    </row>
    <row r="7" ht="20.25">
      <c r="E7" s="8"/>
    </row>
    <row r="8" ht="20.25">
      <c r="O8" s="9"/>
    </row>
    <row r="9" spans="5:15" ht="19.7">
      <c r="E9" s="10" t="s">
        <v>3</v>
      </c>
      <c r="O9" s="9"/>
    </row>
    <row r="10" spans="5:15" ht="19.7">
      <c r="E10" s="10"/>
      <c r="O10" s="9"/>
    </row>
    <row r="11" spans="5:12" ht="19.7">
      <c r="E11" s="10" t="s">
        <v>4</v>
      </c>
      <c r="L11" s="11"/>
    </row>
    <row r="12" ht="19.7">
      <c r="E12" s="10"/>
    </row>
    <row r="13" spans="5:15" ht="19.7">
      <c r="E13" s="10" t="s">
        <v>5</v>
      </c>
      <c r="O13" s="12"/>
    </row>
    <row r="14" spans="5:34" ht="19.7">
      <c r="E14" s="10"/>
      <c r="AH14" s="13"/>
    </row>
    <row r="15" ht="19.7">
      <c r="E15" s="10" t="s">
        <v>6</v>
      </c>
    </row>
    <row r="16" ht="20.25">
      <c r="E16" s="10"/>
    </row>
    <row r="17" ht="19.7">
      <c r="E17" s="10"/>
    </row>
    <row r="18" ht="12.8"/>
    <row r="19" spans="5:34" ht="19.7">
      <c r="E19" s="14" t="s">
        <v>7</v>
      </c>
      <c r="AH19" s="13"/>
    </row>
    <row r="20" ht="12.8"/>
    <row r="21" ht="12.8">
      <c r="E21" t="s">
        <v>8</v>
      </c>
    </row>
    <row r="22" ht="12.8">
      <c r="E22" t="s">
        <v>9</v>
      </c>
    </row>
    <row r="23" ht="12.8"/>
    <row r="24" ht="12.8">
      <c r="E24" t="s">
        <v>10</v>
      </c>
    </row>
    <row r="25" ht="12.8">
      <c r="E25" t="s">
        <v>11</v>
      </c>
    </row>
    <row r="28" spans="17:18" ht="12.75">
      <c r="Q28" s="2"/>
      <c r="R28" s="2"/>
    </row>
    <row r="29" spans="17:18" ht="12.75">
      <c r="Q29" s="2"/>
      <c r="R29" s="2"/>
    </row>
    <row r="30" spans="3:16" ht="15">
      <c r="C30" s="2"/>
      <c r="D30" s="2"/>
      <c r="E30" s="15"/>
      <c r="F30" s="3"/>
      <c r="G30" s="2"/>
      <c r="H30" s="3"/>
      <c r="I30" s="2"/>
      <c r="J30" s="2"/>
      <c r="K30" s="2"/>
      <c r="L30" s="2"/>
      <c r="M30" s="2"/>
      <c r="N30" s="2"/>
      <c r="O30" s="2"/>
      <c r="P30" s="2"/>
    </row>
    <row r="31" ht="15">
      <c r="E31" s="16"/>
    </row>
    <row r="32" ht="15">
      <c r="E32" s="16"/>
    </row>
    <row r="33" ht="12.8"/>
    <row r="34" ht="12.8"/>
    <row r="49" ht="12.75">
      <c r="B49" s="17"/>
    </row>
    <row r="58" ht="12.75">
      <c r="B58" s="11"/>
    </row>
    <row r="60" ht="12.75">
      <c r="B60" s="11"/>
    </row>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0"/>
  <sheetViews>
    <sheetView zoomScale="85" zoomScaleNormal="85" workbookViewId="0" topLeftCell="A1">
      <selection activeCell="Y83" sqref="Y83"/>
    </sheetView>
  </sheetViews>
  <sheetFormatPr defaultColWidth="11.7109375" defaultRowHeight="12.75"/>
  <cols>
    <col min="34" max="34" width="29.28125" style="0" customWidth="1"/>
  </cols>
  <sheetData>
    <row r="2" spans="2:6" ht="23.25">
      <c r="B2" s="18" t="s">
        <v>12</v>
      </c>
      <c r="F2" s="19"/>
    </row>
    <row r="4" spans="2:7" ht="12.75">
      <c r="B4" s="5" t="s">
        <v>13</v>
      </c>
      <c r="G4" s="20" t="s">
        <v>14</v>
      </c>
    </row>
    <row r="5" spans="2:7" ht="12.75">
      <c r="B5" s="5"/>
      <c r="G5" t="s">
        <v>15</v>
      </c>
    </row>
    <row r="6" spans="2:7" ht="12.75">
      <c r="B6" s="5"/>
      <c r="G6" t="s">
        <v>16</v>
      </c>
    </row>
    <row r="7" ht="12.75">
      <c r="B7" s="5"/>
    </row>
    <row r="8" ht="12.75">
      <c r="B8" s="5"/>
    </row>
    <row r="9" spans="2:7" ht="12.75">
      <c r="B9" s="5"/>
      <c r="G9" s="20" t="s">
        <v>17</v>
      </c>
    </row>
    <row r="10" ht="12.75">
      <c r="G10" t="s">
        <v>18</v>
      </c>
    </row>
    <row r="11" ht="12.75">
      <c r="G11" t="s">
        <v>19</v>
      </c>
    </row>
    <row r="14" spans="7:34" ht="12.75">
      <c r="G14" s="20" t="s">
        <v>20</v>
      </c>
      <c r="AH14" s="13"/>
    </row>
    <row r="15" ht="12.75">
      <c r="G15" s="20" t="s">
        <v>21</v>
      </c>
    </row>
    <row r="16" ht="12.75">
      <c r="I16" t="s">
        <v>22</v>
      </c>
    </row>
    <row r="17" spans="9:34" ht="12.75">
      <c r="I17" t="s">
        <v>23</v>
      </c>
      <c r="AH17" s="13"/>
    </row>
    <row r="19" ht="12.75">
      <c r="B19" s="20" t="s">
        <v>24</v>
      </c>
    </row>
    <row r="20" spans="2:7" ht="12.75">
      <c r="B20" t="s">
        <v>25</v>
      </c>
      <c r="G20" s="20" t="s">
        <v>26</v>
      </c>
    </row>
    <row r="21" spans="2:7" ht="12.75">
      <c r="B21" t="s">
        <v>27</v>
      </c>
      <c r="G21" t="s">
        <v>28</v>
      </c>
    </row>
    <row r="22" spans="2:7" ht="12.75">
      <c r="B22" t="s">
        <v>29</v>
      </c>
      <c r="G22" t="s">
        <v>30</v>
      </c>
    </row>
    <row r="28" ht="12.75">
      <c r="E28" t="s">
        <v>31</v>
      </c>
    </row>
    <row r="29" ht="12.75">
      <c r="E29" t="s">
        <v>32</v>
      </c>
    </row>
    <row r="36" ht="12.75">
      <c r="B36" t="s">
        <v>33</v>
      </c>
    </row>
    <row r="37" ht="12.75">
      <c r="B37" t="s">
        <v>34</v>
      </c>
    </row>
    <row r="38" ht="12.75">
      <c r="B38" t="s">
        <v>35</v>
      </c>
    </row>
    <row r="39" ht="12.75">
      <c r="B39" t="s">
        <v>36</v>
      </c>
    </row>
    <row r="49" ht="12.75">
      <c r="B49" s="17"/>
    </row>
    <row r="58" ht="12.75">
      <c r="B58" s="11"/>
    </row>
    <row r="60" ht="12.75">
      <c r="B60" s="11"/>
    </row>
  </sheetData>
  <printOptions/>
  <pageMargins left="0.275694444444444" right="0.275694444444444" top="0.275694444444444" bottom="0.275694444444444" header="0.511805555555555" footer="0.511805555555555"/>
  <pageSetup fitToHeight="1" fitToWidth="1" horizontalDpi="300" verticalDpi="300" orientation="landscape" paperSize="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6"/>
  <sheetViews>
    <sheetView zoomScale="85" zoomScaleNormal="85" workbookViewId="0" topLeftCell="A1">
      <selection activeCell="AE55" sqref="AE55"/>
    </sheetView>
  </sheetViews>
  <sheetFormatPr defaultColWidth="11.7109375" defaultRowHeight="12.75"/>
  <cols>
    <col min="1" max="1" width="8.140625" style="0" customWidth="1"/>
    <col min="2" max="16" width="5.57421875" style="0" customWidth="1"/>
    <col min="17" max="17" width="5.7109375" style="0" customWidth="1"/>
    <col min="18" max="20" width="5.57421875" style="0" customWidth="1"/>
    <col min="21" max="21" width="7.00390625" style="0" customWidth="1"/>
    <col min="22" max="33" width="5.57421875" style="0" customWidth="1"/>
    <col min="34" max="34" width="29.28125" style="0" customWidth="1"/>
  </cols>
  <sheetData>
    <row r="1" spans="1:17" ht="20.25">
      <c r="A1" s="21" t="s">
        <v>37</v>
      </c>
      <c r="B1" s="2"/>
      <c r="C1" s="2"/>
      <c r="D1" s="2"/>
      <c r="E1" s="3"/>
      <c r="F1" s="2"/>
      <c r="G1" s="3"/>
      <c r="H1" s="2"/>
      <c r="I1" s="2"/>
      <c r="J1" s="2"/>
      <c r="K1" s="2"/>
      <c r="L1" s="2"/>
      <c r="M1" s="2"/>
      <c r="N1" s="2"/>
      <c r="O1" s="2"/>
      <c r="P1" s="2"/>
      <c r="Q1" s="2"/>
    </row>
    <row r="2" spans="1:17" ht="23.25">
      <c r="A2" s="1"/>
      <c r="B2" s="22"/>
      <c r="C2" s="2"/>
      <c r="D2" s="2"/>
      <c r="E2" s="3"/>
      <c r="F2" s="2"/>
      <c r="G2" s="3"/>
      <c r="H2" s="2"/>
      <c r="I2" s="2"/>
      <c r="J2" s="2"/>
      <c r="K2" s="2"/>
      <c r="L2" s="2"/>
      <c r="M2" s="2"/>
      <c r="N2" s="2"/>
      <c r="O2" s="2"/>
      <c r="P2" s="2"/>
      <c r="Q2" s="2"/>
    </row>
    <row r="3" spans="1:34" ht="15.75">
      <c r="A3" s="23" t="s">
        <v>38</v>
      </c>
      <c r="B3" s="24"/>
      <c r="C3" s="24"/>
      <c r="D3" s="24"/>
      <c r="E3" s="24"/>
      <c r="F3" s="24"/>
      <c r="G3" s="25" t="s">
        <v>39</v>
      </c>
      <c r="H3" s="24"/>
      <c r="I3" s="24"/>
      <c r="J3" s="24"/>
      <c r="K3" s="24"/>
      <c r="L3" s="24"/>
      <c r="M3" s="24"/>
      <c r="N3" s="24"/>
      <c r="O3" s="24"/>
      <c r="P3" s="24"/>
      <c r="Q3" s="24"/>
      <c r="R3" s="16"/>
      <c r="S3" s="16"/>
      <c r="T3" s="16"/>
      <c r="U3" s="16"/>
      <c r="V3" s="16"/>
      <c r="W3" s="16"/>
      <c r="X3" s="16"/>
      <c r="Y3" s="16"/>
      <c r="Z3" s="16"/>
      <c r="AA3" s="16"/>
      <c r="AB3" s="16"/>
      <c r="AC3" s="16"/>
      <c r="AD3" s="16"/>
      <c r="AE3" s="16"/>
      <c r="AF3" s="16"/>
      <c r="AG3" s="16"/>
      <c r="AH3" s="16"/>
    </row>
    <row r="4" spans="1:34" ht="15.75">
      <c r="A4" s="16"/>
      <c r="B4" s="23"/>
      <c r="C4" s="24"/>
      <c r="D4" s="24"/>
      <c r="E4" s="24"/>
      <c r="F4" s="24"/>
      <c r="G4" s="24"/>
      <c r="H4" s="24"/>
      <c r="I4" s="24"/>
      <c r="J4" s="24"/>
      <c r="K4" s="24"/>
      <c r="L4" s="24"/>
      <c r="M4" s="24"/>
      <c r="N4" s="24"/>
      <c r="O4" s="24"/>
      <c r="P4" s="24"/>
      <c r="Q4" s="24"/>
      <c r="R4" s="16"/>
      <c r="S4" s="16"/>
      <c r="T4" s="16"/>
      <c r="U4" s="16"/>
      <c r="V4" s="16"/>
      <c r="W4" s="16"/>
      <c r="X4" s="16"/>
      <c r="Y4" s="16"/>
      <c r="Z4" s="16"/>
      <c r="AA4" s="16"/>
      <c r="AB4" s="16"/>
      <c r="AC4" s="16"/>
      <c r="AD4" s="16"/>
      <c r="AE4" s="16"/>
      <c r="AF4" s="16"/>
      <c r="AG4" s="16"/>
      <c r="AH4" s="16"/>
    </row>
    <row r="5" spans="1:34" ht="54" customHeight="1">
      <c r="A5" s="26" t="s">
        <v>40</v>
      </c>
      <c r="B5" s="27"/>
      <c r="C5" s="28" t="s">
        <v>41</v>
      </c>
      <c r="D5" s="28"/>
      <c r="E5" s="28"/>
      <c r="F5" s="28" t="s">
        <v>42</v>
      </c>
      <c r="G5" s="28"/>
      <c r="H5" s="28" t="s">
        <v>43</v>
      </c>
      <c r="I5" s="28"/>
      <c r="J5" s="29" t="s">
        <v>44</v>
      </c>
      <c r="K5" s="29"/>
      <c r="L5" s="29"/>
      <c r="M5" s="29"/>
      <c r="N5" s="29"/>
      <c r="O5" s="29"/>
      <c r="P5" s="29"/>
      <c r="Q5" s="29"/>
      <c r="R5" s="29"/>
      <c r="S5" s="29"/>
      <c r="T5" s="29"/>
      <c r="U5" s="29"/>
      <c r="V5" s="29"/>
      <c r="W5" s="29"/>
      <c r="X5" s="29"/>
      <c r="Y5" s="29"/>
      <c r="Z5" s="16"/>
      <c r="AA5" s="16"/>
      <c r="AB5" s="16"/>
      <c r="AC5" s="16"/>
      <c r="AD5" s="16"/>
      <c r="AE5" s="16"/>
      <c r="AF5" s="16"/>
      <c r="AG5" s="16"/>
      <c r="AH5" s="16"/>
    </row>
    <row r="6" spans="1:34" ht="15">
      <c r="A6" s="26" t="s">
        <v>45</v>
      </c>
      <c r="B6" s="30" t="s">
        <v>46</v>
      </c>
      <c r="C6" s="31">
        <v>1</v>
      </c>
      <c r="D6" s="32" t="s">
        <v>47</v>
      </c>
      <c r="E6" s="27"/>
      <c r="F6" s="33">
        <v>0.3</v>
      </c>
      <c r="G6" s="27" t="s">
        <v>48</v>
      </c>
      <c r="H6" s="33">
        <v>0.4</v>
      </c>
      <c r="I6" s="27" t="s">
        <v>49</v>
      </c>
      <c r="J6" s="29" t="s">
        <v>50</v>
      </c>
      <c r="K6" s="29"/>
      <c r="L6" s="29"/>
      <c r="M6" s="29"/>
      <c r="N6" s="29"/>
      <c r="O6" s="29"/>
      <c r="P6" s="29"/>
      <c r="Q6" s="29"/>
      <c r="R6" s="29"/>
      <c r="S6" s="29"/>
      <c r="T6" s="29"/>
      <c r="U6" s="29"/>
      <c r="V6" s="29"/>
      <c r="W6" s="29"/>
      <c r="X6" s="29"/>
      <c r="Y6" s="29"/>
      <c r="Z6" s="16"/>
      <c r="AA6" s="16"/>
      <c r="AB6" s="16"/>
      <c r="AC6" s="16"/>
      <c r="AD6" s="16"/>
      <c r="AE6" s="16"/>
      <c r="AF6" s="16"/>
      <c r="AG6" s="16"/>
      <c r="AH6" s="16"/>
    </row>
    <row r="7" spans="1:34" ht="15">
      <c r="A7" s="26" t="s">
        <v>51</v>
      </c>
      <c r="B7" s="30" t="s">
        <v>52</v>
      </c>
      <c r="C7" s="31">
        <v>10</v>
      </c>
      <c r="D7" s="32" t="s">
        <v>53</v>
      </c>
      <c r="E7" s="27"/>
      <c r="F7" s="33">
        <v>0.1</v>
      </c>
      <c r="G7" s="27" t="s">
        <v>48</v>
      </c>
      <c r="H7" s="33">
        <v>0.27</v>
      </c>
      <c r="I7" s="27" t="s">
        <v>49</v>
      </c>
      <c r="J7" s="29" t="s">
        <v>54</v>
      </c>
      <c r="K7" s="29"/>
      <c r="L7" s="29"/>
      <c r="M7" s="29"/>
      <c r="N7" s="29"/>
      <c r="O7" s="29"/>
      <c r="P7" s="29"/>
      <c r="Q7" s="29"/>
      <c r="R7" s="29"/>
      <c r="S7" s="29"/>
      <c r="T7" s="29"/>
      <c r="U7" s="29"/>
      <c r="V7" s="29"/>
      <c r="W7" s="29"/>
      <c r="X7" s="29"/>
      <c r="Y7" s="29"/>
      <c r="Z7" s="16"/>
      <c r="AA7" s="16"/>
      <c r="AB7" s="16"/>
      <c r="AC7" s="16"/>
      <c r="AD7" s="16"/>
      <c r="AE7" s="16"/>
      <c r="AF7" s="16"/>
      <c r="AG7" s="16"/>
      <c r="AH7" s="16"/>
    </row>
    <row r="8" spans="1:34" ht="15">
      <c r="A8" s="26" t="s">
        <v>55</v>
      </c>
      <c r="B8" s="30" t="s">
        <v>56</v>
      </c>
      <c r="C8" s="31">
        <v>1</v>
      </c>
      <c r="D8" s="32" t="s">
        <v>47</v>
      </c>
      <c r="E8" s="27"/>
      <c r="F8" s="33">
        <v>0.09</v>
      </c>
      <c r="G8" s="27" t="s">
        <v>48</v>
      </c>
      <c r="H8" s="33">
        <v>0.2</v>
      </c>
      <c r="I8" s="27" t="s">
        <v>49</v>
      </c>
      <c r="J8" s="34" t="s">
        <v>57</v>
      </c>
      <c r="K8" s="34"/>
      <c r="L8" s="34"/>
      <c r="M8" s="34"/>
      <c r="N8" s="34"/>
      <c r="O8" s="34"/>
      <c r="P8" s="34"/>
      <c r="Q8" s="34"/>
      <c r="R8" s="34"/>
      <c r="S8" s="34"/>
      <c r="T8" s="34"/>
      <c r="U8" s="34"/>
      <c r="V8" s="34"/>
      <c r="W8" s="34"/>
      <c r="X8" s="34"/>
      <c r="Y8" s="34"/>
      <c r="Z8" s="16"/>
      <c r="AA8" s="16"/>
      <c r="AB8" s="16"/>
      <c r="AC8" s="16"/>
      <c r="AD8" s="16"/>
      <c r="AE8" s="16"/>
      <c r="AF8" s="16"/>
      <c r="AG8" s="16"/>
      <c r="AH8" s="16"/>
    </row>
    <row r="9" spans="1:34" ht="15">
      <c r="A9" s="26" t="s">
        <v>58</v>
      </c>
      <c r="B9" s="30" t="s">
        <v>59</v>
      </c>
      <c r="C9" s="31">
        <v>7</v>
      </c>
      <c r="D9" s="32" t="s">
        <v>60</v>
      </c>
      <c r="E9" s="27"/>
      <c r="F9" s="33">
        <v>0.09</v>
      </c>
      <c r="G9" s="27" t="s">
        <v>48</v>
      </c>
      <c r="H9" s="33">
        <v>0.26</v>
      </c>
      <c r="I9" s="27" t="s">
        <v>49</v>
      </c>
      <c r="J9" s="29"/>
      <c r="K9" s="29"/>
      <c r="L9" s="29"/>
      <c r="M9" s="29"/>
      <c r="N9" s="29"/>
      <c r="O9" s="29"/>
      <c r="P9" s="29"/>
      <c r="Q9" s="29"/>
      <c r="R9" s="29"/>
      <c r="S9" s="29"/>
      <c r="T9" s="29"/>
      <c r="U9" s="29"/>
      <c r="V9" s="29"/>
      <c r="W9" s="29"/>
      <c r="X9" s="29"/>
      <c r="Y9" s="29"/>
      <c r="Z9" s="16"/>
      <c r="AA9" s="16"/>
      <c r="AB9" s="16"/>
      <c r="AC9" s="16"/>
      <c r="AD9" s="16"/>
      <c r="AE9" s="16"/>
      <c r="AF9" s="16"/>
      <c r="AG9" s="16"/>
      <c r="AH9" s="16"/>
    </row>
    <row r="10" spans="1:34" ht="15">
      <c r="A10" s="26" t="s">
        <v>61</v>
      </c>
      <c r="B10" s="30" t="s">
        <v>62</v>
      </c>
      <c r="C10" s="31">
        <v>4.7</v>
      </c>
      <c r="D10" s="32" t="s">
        <v>53</v>
      </c>
      <c r="E10" s="27"/>
      <c r="F10" s="33">
        <v>0.08</v>
      </c>
      <c r="G10" s="27" t="s">
        <v>48</v>
      </c>
      <c r="H10" s="35">
        <v>0.1</v>
      </c>
      <c r="I10" s="27" t="s">
        <v>49</v>
      </c>
      <c r="J10" s="29" t="s">
        <v>63</v>
      </c>
      <c r="K10" s="29"/>
      <c r="L10" s="29"/>
      <c r="M10" s="29"/>
      <c r="N10" s="29"/>
      <c r="O10" s="29"/>
      <c r="P10" s="29"/>
      <c r="Q10" s="29"/>
      <c r="R10" s="29"/>
      <c r="S10" s="29"/>
      <c r="T10" s="29"/>
      <c r="U10" s="29"/>
      <c r="V10" s="29"/>
      <c r="W10" s="29"/>
      <c r="X10" s="29"/>
      <c r="Y10" s="29"/>
      <c r="Z10" s="16"/>
      <c r="AA10" s="16"/>
      <c r="AB10" s="16"/>
      <c r="AC10" s="16"/>
      <c r="AD10" s="16"/>
      <c r="AE10" s="16"/>
      <c r="AF10" s="16"/>
      <c r="AG10" s="16"/>
      <c r="AH10" s="16"/>
    </row>
    <row r="11" spans="1:34" ht="15">
      <c r="A11" s="16" t="s">
        <v>64</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
      <c r="A12" s="36"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5">
      <c r="A13" s="16"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
      <c r="A14" t="s">
        <v>67</v>
      </c>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37"/>
    </row>
    <row r="15" spans="1:34" ht="15">
      <c r="A15" s="16" t="s">
        <v>68</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37"/>
    </row>
    <row r="16" spans="1:34" ht="15">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23" ht="15">
      <c r="B17" s="16"/>
      <c r="C17" s="16"/>
      <c r="D17" s="16"/>
      <c r="F17" s="38"/>
      <c r="G17" s="16"/>
      <c r="H17" s="16"/>
      <c r="I17" s="16"/>
      <c r="J17" s="16"/>
      <c r="K17" s="16"/>
      <c r="L17" s="16"/>
      <c r="M17" s="16"/>
      <c r="N17" s="16"/>
      <c r="O17" s="16"/>
      <c r="P17" s="16"/>
      <c r="Q17" s="16"/>
      <c r="R17" s="16"/>
      <c r="S17" s="16"/>
      <c r="T17" s="16"/>
      <c r="U17" s="16"/>
      <c r="V17" s="16"/>
      <c r="W17" s="16"/>
    </row>
    <row r="18" spans="1:34" ht="15">
      <c r="A18" s="39" t="s">
        <v>69</v>
      </c>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37"/>
    </row>
    <row r="19" spans="1:34" ht="15">
      <c r="A19" s="40" t="s">
        <v>70</v>
      </c>
      <c r="B19" s="40"/>
      <c r="C19" s="40"/>
      <c r="D19" s="41">
        <v>3.1</v>
      </c>
      <c r="E19" s="16" t="s">
        <v>71</v>
      </c>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1:34" ht="15">
      <c r="A20" s="16"/>
      <c r="B20" s="16"/>
      <c r="C20" s="16"/>
      <c r="D20" s="16"/>
      <c r="E20" s="16" t="s">
        <v>72</v>
      </c>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ht="15">
      <c r="A21" s="16"/>
      <c r="B21" s="16"/>
      <c r="C21" s="16"/>
      <c r="D21" s="16"/>
      <c r="E21" s="16" t="s">
        <v>73</v>
      </c>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1:34" ht="15">
      <c r="A22" s="16"/>
      <c r="B22" s="16"/>
      <c r="C22" s="16"/>
      <c r="D22" s="16"/>
      <c r="E22" s="16" t="s">
        <v>74</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5">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1:34" ht="15">
      <c r="A24" s="16"/>
      <c r="B24" s="16"/>
      <c r="C24" s="16"/>
      <c r="D24" s="16"/>
      <c r="E24" s="16" t="s">
        <v>75</v>
      </c>
      <c r="F24" s="16"/>
      <c r="G24" s="16"/>
      <c r="H24" s="16"/>
      <c r="I24" s="16"/>
      <c r="J24" s="42" t="s">
        <v>76</v>
      </c>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
      <c r="A25" s="16"/>
      <c r="B25" s="16"/>
      <c r="C25" s="16"/>
      <c r="D25" s="16"/>
      <c r="E25" s="16" t="s">
        <v>77</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1:34" ht="15">
      <c r="A26" s="16"/>
      <c r="B26" s="16"/>
      <c r="C26" s="16"/>
      <c r="D26" s="16"/>
      <c r="E26" s="16" t="s">
        <v>78</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1:34" ht="15">
      <c r="A27" s="16"/>
      <c r="B27" s="16"/>
      <c r="C27" s="16"/>
      <c r="D27" s="16"/>
      <c r="E27" s="16" t="s">
        <v>79</v>
      </c>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1:34" ht="15">
      <c r="A28" s="16"/>
      <c r="B28" s="16"/>
      <c r="C28" s="16"/>
      <c r="D28" s="16"/>
      <c r="E28" s="16" t="s">
        <v>80</v>
      </c>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1:34" ht="15">
      <c r="A29" s="16"/>
      <c r="B29" s="16"/>
      <c r="C29" s="16"/>
      <c r="D29" s="16"/>
      <c r="E29" s="16" t="s">
        <v>81</v>
      </c>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1:34" ht="15">
      <c r="A30" s="16"/>
      <c r="B30" s="16"/>
      <c r="C30" s="16"/>
      <c r="D30" s="16"/>
      <c r="E30" s="16" t="s">
        <v>82</v>
      </c>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row>
    <row r="31" spans="1:34" ht="15">
      <c r="A31" s="16"/>
      <c r="B31" s="16"/>
      <c r="C31" s="16"/>
      <c r="D31" s="16"/>
      <c r="E31" s="16" t="s">
        <v>83</v>
      </c>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row>
    <row r="32" spans="1:34" ht="15">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row>
    <row r="33" spans="1:34" ht="15">
      <c r="A33" s="43" t="s">
        <v>84</v>
      </c>
      <c r="B33" s="43"/>
      <c r="C33" s="43"/>
      <c r="D33" s="43"/>
      <c r="E33" s="43"/>
      <c r="F33" s="43"/>
      <c r="G33" s="43"/>
      <c r="H33" s="43"/>
      <c r="I33" s="43"/>
      <c r="J33" s="43"/>
      <c r="K33" s="43"/>
      <c r="L33" s="16"/>
      <c r="M33" s="43">
        <f>H6/D19</f>
        <v>0.129032258064516</v>
      </c>
      <c r="N33" s="44" t="s">
        <v>49</v>
      </c>
      <c r="O33" s="16"/>
      <c r="P33" s="16"/>
      <c r="Q33" s="16"/>
      <c r="R33" s="16"/>
      <c r="S33" s="16"/>
      <c r="T33" s="16"/>
      <c r="U33" s="16"/>
      <c r="V33" s="16"/>
      <c r="W33" s="16"/>
      <c r="X33" s="16"/>
      <c r="Y33" s="16"/>
      <c r="Z33" s="16"/>
      <c r="AA33" s="16"/>
      <c r="AB33" s="16"/>
      <c r="AC33" s="16"/>
      <c r="AD33" s="16"/>
      <c r="AE33" s="16"/>
      <c r="AF33" s="16"/>
      <c r="AG33" s="16"/>
      <c r="AH33" s="16"/>
    </row>
    <row r="34" spans="1:34" ht="15">
      <c r="A34" s="16"/>
      <c r="B34" s="16" t="s">
        <v>85</v>
      </c>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row>
    <row r="35" spans="1:34" ht="15">
      <c r="A35" s="16"/>
      <c r="B35" s="16" t="s">
        <v>86</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row>
    <row r="36" spans="1:34" ht="15">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row>
    <row r="37" spans="1:34" ht="15">
      <c r="A37" s="43" t="s">
        <v>87</v>
      </c>
      <c r="B37" s="43"/>
      <c r="C37" s="43"/>
      <c r="D37" s="43"/>
      <c r="E37" s="43"/>
      <c r="F37" s="43"/>
      <c r="G37" s="43"/>
      <c r="H37" s="43"/>
      <c r="I37" s="43"/>
      <c r="J37" s="43"/>
      <c r="K37" s="43"/>
      <c r="L37" s="16"/>
      <c r="M37" s="43">
        <f>F6/D19</f>
        <v>0.0967741935483871</v>
      </c>
      <c r="N37" s="43" t="s">
        <v>48</v>
      </c>
      <c r="O37" s="16"/>
      <c r="P37" s="43" t="s">
        <v>88</v>
      </c>
      <c r="Q37" s="42"/>
      <c r="R37" s="42"/>
      <c r="S37" s="16"/>
      <c r="T37" s="16"/>
      <c r="U37" s="16"/>
      <c r="V37" s="16"/>
      <c r="W37" s="16"/>
      <c r="X37" s="16"/>
      <c r="Y37" s="16"/>
      <c r="Z37" s="16"/>
      <c r="AA37" s="16"/>
      <c r="AB37" s="16"/>
      <c r="AC37" s="16"/>
      <c r="AD37" s="16"/>
      <c r="AE37" s="16"/>
      <c r="AF37" s="16"/>
      <c r="AG37" s="16"/>
      <c r="AH37" s="16"/>
    </row>
    <row r="38" ht="12.8"/>
    <row r="39" spans="1:34" ht="15">
      <c r="A39" s="16"/>
      <c r="B39" s="16"/>
      <c r="C39" s="16"/>
      <c r="D39" s="16"/>
      <c r="E39" s="45"/>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ht="15">
      <c r="A40" s="39" t="s">
        <v>89</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row>
    <row r="41" spans="1:34" ht="15">
      <c r="A41" s="16" t="s">
        <v>90</v>
      </c>
      <c r="B41" s="16"/>
      <c r="C41" s="42" t="s">
        <v>91</v>
      </c>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ht="15">
      <c r="A42" s="16" t="s">
        <v>92</v>
      </c>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row>
    <row r="43" spans="1:34" ht="15">
      <c r="A43" s="16" t="s">
        <v>93</v>
      </c>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15">
      <c r="A44" s="16" t="s">
        <v>94</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row>
    <row r="45" spans="1:34" ht="15">
      <c r="A45" s="16" t="s">
        <v>95</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ht="15">
      <c r="A46" t="s">
        <v>96</v>
      </c>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row>
    <row r="47" spans="1:34" ht="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2:23" ht="15">
      <c r="B48" s="46" t="s">
        <v>97</v>
      </c>
      <c r="C48" s="46"/>
      <c r="D48" s="46"/>
      <c r="E48" s="46"/>
      <c r="F48" s="46" t="s">
        <v>98</v>
      </c>
      <c r="G48" s="46"/>
      <c r="H48" s="46"/>
      <c r="I48" s="46"/>
      <c r="J48" s="46"/>
      <c r="K48" s="46"/>
      <c r="L48" s="46"/>
      <c r="M48" s="46"/>
      <c r="N48" s="46" t="s">
        <v>99</v>
      </c>
      <c r="O48" s="46"/>
      <c r="P48" s="46"/>
      <c r="Q48" s="46"/>
      <c r="U48" s="16"/>
      <c r="V48" s="16"/>
      <c r="W48" s="16"/>
    </row>
    <row r="49" spans="2:23" ht="15">
      <c r="B49" s="46"/>
      <c r="C49" s="46"/>
      <c r="D49" s="46"/>
      <c r="E49" s="46"/>
      <c r="F49" s="46" t="s">
        <v>100</v>
      </c>
      <c r="G49" s="46"/>
      <c r="H49" s="46"/>
      <c r="I49" s="46"/>
      <c r="J49" s="46" t="s">
        <v>101</v>
      </c>
      <c r="K49" s="46"/>
      <c r="L49" s="46"/>
      <c r="M49" s="46"/>
      <c r="N49" s="46"/>
      <c r="O49" s="46"/>
      <c r="P49" s="46"/>
      <c r="Q49" s="46"/>
      <c r="U49" s="16"/>
      <c r="V49" s="16"/>
      <c r="W49" s="16"/>
    </row>
    <row r="50" spans="2:23" ht="15">
      <c r="B50" s="46" t="s">
        <v>102</v>
      </c>
      <c r="C50" s="46"/>
      <c r="D50" s="46"/>
      <c r="E50" s="46"/>
      <c r="F50" s="46">
        <v>1</v>
      </c>
      <c r="G50" s="46"/>
      <c r="H50" s="46"/>
      <c r="I50" s="46"/>
      <c r="J50" s="46">
        <v>1</v>
      </c>
      <c r="K50" s="46"/>
      <c r="L50" s="46"/>
      <c r="M50" s="46"/>
      <c r="N50" s="46">
        <v>1</v>
      </c>
      <c r="O50" s="46"/>
      <c r="P50" s="46"/>
      <c r="Q50" s="46"/>
      <c r="U50" s="16"/>
      <c r="V50" s="16"/>
      <c r="W50" s="16"/>
    </row>
    <row r="51" spans="2:23" ht="15">
      <c r="B51" s="46" t="s">
        <v>103</v>
      </c>
      <c r="C51" s="46"/>
      <c r="D51" s="46"/>
      <c r="E51" s="46"/>
      <c r="F51" s="46">
        <v>84</v>
      </c>
      <c r="G51" s="46"/>
      <c r="H51" s="46"/>
      <c r="I51" s="46"/>
      <c r="J51" s="46">
        <v>28</v>
      </c>
      <c r="K51" s="46"/>
      <c r="L51" s="46"/>
      <c r="M51" s="46"/>
      <c r="N51" s="46">
        <v>25</v>
      </c>
      <c r="O51" s="46"/>
      <c r="P51" s="46"/>
      <c r="Q51" s="46"/>
      <c r="U51" s="16"/>
      <c r="V51" s="16"/>
      <c r="W51" s="16"/>
    </row>
    <row r="52" spans="2:23" ht="15">
      <c r="B52" s="46" t="s">
        <v>104</v>
      </c>
      <c r="C52" s="46"/>
      <c r="D52" s="46"/>
      <c r="E52" s="46"/>
      <c r="F52" s="46">
        <v>3710</v>
      </c>
      <c r="G52" s="46"/>
      <c r="H52" s="46"/>
      <c r="I52" s="46"/>
      <c r="J52" s="46">
        <v>1430</v>
      </c>
      <c r="K52" s="46"/>
      <c r="L52" s="46"/>
      <c r="M52" s="46"/>
      <c r="N52" s="46">
        <v>1430</v>
      </c>
      <c r="O52" s="46"/>
      <c r="P52" s="46"/>
      <c r="Q52" s="46"/>
      <c r="U52" s="16"/>
      <c r="V52" s="16"/>
      <c r="W52" s="16"/>
    </row>
    <row r="53" spans="2:23" ht="15">
      <c r="B53" s="16"/>
      <c r="C53" s="16"/>
      <c r="D53" s="16"/>
      <c r="F53" s="38" t="s">
        <v>105</v>
      </c>
      <c r="G53" s="16"/>
      <c r="H53" s="16"/>
      <c r="I53" s="16"/>
      <c r="J53" s="16"/>
      <c r="K53" s="16"/>
      <c r="L53" s="16"/>
      <c r="M53" s="16"/>
      <c r="N53" s="16"/>
      <c r="O53" s="16"/>
      <c r="P53" s="16"/>
      <c r="Q53" s="16"/>
      <c r="R53" s="16"/>
      <c r="S53" s="16"/>
      <c r="T53" s="16"/>
      <c r="U53" s="16"/>
      <c r="V53" s="16"/>
      <c r="W53" s="16"/>
    </row>
    <row r="54" spans="1:34" ht="15">
      <c r="A54" s="16"/>
      <c r="B54" s="16"/>
      <c r="C54" s="16"/>
      <c r="D54" s="16"/>
      <c r="E54" s="45"/>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row>
    <row r="55" spans="1:34" ht="1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6" spans="1:34" ht="15">
      <c r="A56" s="23" t="s">
        <v>106</v>
      </c>
      <c r="B56" s="24"/>
      <c r="C56" s="24"/>
      <c r="D56" s="24"/>
      <c r="E56" s="24"/>
      <c r="F56" s="24"/>
      <c r="G56" s="24"/>
      <c r="H56" s="16" t="s">
        <v>107</v>
      </c>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1:34" ht="15">
      <c r="A57" s="16" t="s">
        <v>108</v>
      </c>
      <c r="B57" s="24"/>
      <c r="C57" s="24"/>
      <c r="D57" s="24"/>
      <c r="E57" s="24"/>
      <c r="F57" s="24"/>
      <c r="G57" s="24"/>
      <c r="H57" s="24"/>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ht="15.75">
      <c r="A58" s="47" t="s">
        <v>109</v>
      </c>
      <c r="B58" s="16"/>
      <c r="C58" s="48">
        <v>10688</v>
      </c>
      <c r="D58" s="48"/>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ht="15.75">
      <c r="A59" s="47" t="s">
        <v>110</v>
      </c>
      <c r="B59" s="16"/>
      <c r="C59" s="48">
        <v>588000</v>
      </c>
      <c r="D59" s="48"/>
      <c r="E59" s="16" t="s">
        <v>111</v>
      </c>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ht="1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34" ht="40.9" customHeight="1">
      <c r="A61" s="16"/>
      <c r="B61" s="46"/>
      <c r="C61" s="46"/>
      <c r="D61" s="46"/>
      <c r="E61" s="46"/>
      <c r="F61" s="49" t="s">
        <v>112</v>
      </c>
      <c r="G61" s="49"/>
      <c r="H61" s="49"/>
      <c r="I61" s="50" t="s">
        <v>113</v>
      </c>
      <c r="J61" s="50"/>
      <c r="K61" s="49" t="s">
        <v>114</v>
      </c>
      <c r="L61" s="49"/>
      <c r="M61" s="49"/>
      <c r="N61" s="50" t="s">
        <v>113</v>
      </c>
      <c r="O61" s="50"/>
      <c r="Q61" s="16"/>
      <c r="R61" s="16"/>
      <c r="S61" s="16"/>
      <c r="T61" s="16"/>
      <c r="U61" s="16"/>
      <c r="V61" s="16"/>
      <c r="W61" s="16"/>
      <c r="X61" s="16"/>
      <c r="Y61" s="16"/>
      <c r="Z61" s="16"/>
      <c r="AA61" s="16"/>
      <c r="AB61" s="16"/>
      <c r="AC61" s="16"/>
      <c r="AD61" s="16"/>
      <c r="AE61" s="16"/>
      <c r="AF61" s="16"/>
      <c r="AG61" s="16"/>
      <c r="AH61" s="16"/>
    </row>
    <row r="62" spans="1:34" ht="15">
      <c r="A62" s="16"/>
      <c r="B62" s="46" t="s">
        <v>115</v>
      </c>
      <c r="C62" s="46"/>
      <c r="D62" s="46"/>
      <c r="E62" s="46"/>
      <c r="F62" s="46">
        <v>95608</v>
      </c>
      <c r="G62" s="46"/>
      <c r="H62" s="46"/>
      <c r="I62" s="51">
        <f>F62/F$65</f>
        <v>0.808510638297872</v>
      </c>
      <c r="J62" s="51"/>
      <c r="K62" s="46">
        <v>36595</v>
      </c>
      <c r="L62" s="46"/>
      <c r="M62" s="46"/>
      <c r="N62" s="51">
        <f>K62/K$65</f>
        <v>0.649169800610232</v>
      </c>
      <c r="O62" s="51"/>
      <c r="Q62" s="16"/>
      <c r="R62" s="16"/>
      <c r="S62" s="16"/>
      <c r="T62" s="16"/>
      <c r="U62" s="16"/>
      <c r="V62" s="16"/>
      <c r="W62" s="16"/>
      <c r="X62" s="16"/>
      <c r="Y62" s="16"/>
      <c r="Z62" s="16"/>
      <c r="AA62" s="16"/>
      <c r="AB62" s="16"/>
      <c r="AC62" s="16"/>
      <c r="AD62" s="16"/>
      <c r="AE62" s="16"/>
      <c r="AF62" s="16"/>
      <c r="AG62" s="16"/>
      <c r="AH62" s="16"/>
    </row>
    <row r="63" spans="1:34" ht="15">
      <c r="A63" s="16"/>
      <c r="B63" s="46" t="s">
        <v>116</v>
      </c>
      <c r="C63" s="46"/>
      <c r="D63" s="46"/>
      <c r="E63" s="46"/>
      <c r="F63" s="46">
        <v>20312</v>
      </c>
      <c r="G63" s="46"/>
      <c r="H63" s="46"/>
      <c r="I63" s="51">
        <f>F63/F$65</f>
        <v>0.171768765010317</v>
      </c>
      <c r="J63" s="51"/>
      <c r="K63" s="46">
        <v>18483</v>
      </c>
      <c r="L63" s="46"/>
      <c r="M63" s="46"/>
      <c r="N63" s="51">
        <f>K63/K$65</f>
        <v>0.327875541048748</v>
      </c>
      <c r="O63" s="51"/>
      <c r="Q63" s="16"/>
      <c r="R63" s="16"/>
      <c r="S63" s="16"/>
      <c r="T63" s="16"/>
      <c r="U63" s="16"/>
      <c r="V63" s="16"/>
      <c r="W63" s="16"/>
      <c r="X63" s="16"/>
      <c r="Y63" s="16"/>
      <c r="Z63" s="16"/>
      <c r="AA63" s="16"/>
      <c r="AB63" s="16"/>
      <c r="AC63" s="16"/>
      <c r="AD63" s="16"/>
      <c r="AE63" s="16"/>
      <c r="AF63" s="16"/>
      <c r="AG63" s="16"/>
      <c r="AH63" s="16"/>
    </row>
    <row r="64" spans="1:34" ht="15">
      <c r="A64" s="16"/>
      <c r="B64" s="52" t="s">
        <v>117</v>
      </c>
      <c r="C64" s="52"/>
      <c r="D64" s="52"/>
      <c r="E64" s="52"/>
      <c r="F64" s="52">
        <v>2332</v>
      </c>
      <c r="G64" s="52"/>
      <c r="H64" s="52"/>
      <c r="I64" s="53">
        <f>F64/F$65</f>
        <v>0.0197205966918107</v>
      </c>
      <c r="J64" s="53"/>
      <c r="K64" s="52">
        <v>1294</v>
      </c>
      <c r="L64" s="52"/>
      <c r="M64" s="52"/>
      <c r="N64" s="53">
        <f>K64/K$65</f>
        <v>0.0229546583410204</v>
      </c>
      <c r="O64" s="53"/>
      <c r="Q64" s="54" t="s">
        <v>118</v>
      </c>
      <c r="R64" s="16"/>
      <c r="S64" s="16"/>
      <c r="T64" s="16"/>
      <c r="U64" s="16"/>
      <c r="V64" s="16"/>
      <c r="W64" s="16"/>
      <c r="X64" s="16"/>
      <c r="Y64" s="16"/>
      <c r="Z64" s="16"/>
      <c r="AA64" s="16"/>
      <c r="AB64" s="16"/>
      <c r="AC64" s="16"/>
      <c r="AD64" s="16"/>
      <c r="AE64" s="16"/>
      <c r="AF64" s="16"/>
      <c r="AG64" s="16"/>
      <c r="AH64" s="16"/>
    </row>
    <row r="65" spans="1:34" ht="15">
      <c r="A65" s="16"/>
      <c r="B65" s="55" t="s">
        <v>119</v>
      </c>
      <c r="D65" s="55"/>
      <c r="F65" s="56">
        <f>SUM(F62:F64)</f>
        <v>118252</v>
      </c>
      <c r="G65" s="56"/>
      <c r="H65" s="56"/>
      <c r="I65" s="57"/>
      <c r="J65" s="57"/>
      <c r="K65" s="56">
        <f>SUM(K62:K64)</f>
        <v>56372</v>
      </c>
      <c r="L65" s="56"/>
      <c r="M65" s="56"/>
      <c r="N65" s="40"/>
      <c r="O65" s="40"/>
      <c r="Q65" s="16" t="s">
        <v>120</v>
      </c>
      <c r="R65" s="16"/>
      <c r="S65" s="16"/>
      <c r="T65" s="16"/>
      <c r="U65" s="16"/>
      <c r="V65" s="16"/>
      <c r="W65" s="16"/>
      <c r="X65" s="16"/>
      <c r="Y65" s="16"/>
      <c r="Z65" s="16"/>
      <c r="AA65" s="16"/>
      <c r="AB65" s="16"/>
      <c r="AC65" s="16"/>
      <c r="AD65" s="16"/>
      <c r="AE65" s="16"/>
      <c r="AF65" s="16"/>
      <c r="AG65" s="16"/>
      <c r="AH65" s="16"/>
    </row>
    <row r="66" spans="1:34" ht="15">
      <c r="A66" s="16"/>
      <c r="B66" s="58"/>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ht="15">
      <c r="A67" s="16"/>
      <c r="B67" s="16"/>
      <c r="C67" s="16"/>
      <c r="D67" s="16"/>
      <c r="E67" s="16"/>
      <c r="F67" s="16"/>
      <c r="G67" s="16"/>
      <c r="H67" s="16"/>
      <c r="I67" s="16"/>
      <c r="J67" s="16"/>
      <c r="K67" s="16"/>
      <c r="L67" s="16"/>
      <c r="M67" s="16"/>
      <c r="N67" s="16"/>
      <c r="O67" s="16"/>
      <c r="P67" s="16"/>
      <c r="Q67" s="59" t="s">
        <v>121</v>
      </c>
      <c r="R67" s="59"/>
      <c r="S67" s="59"/>
      <c r="T67" s="59"/>
      <c r="U67" s="59"/>
      <c r="V67" s="59"/>
      <c r="W67" s="16"/>
      <c r="X67" s="16"/>
      <c r="Y67" s="16"/>
      <c r="Z67" s="16"/>
      <c r="AA67" s="16"/>
      <c r="AB67" s="16"/>
      <c r="AC67" s="16"/>
      <c r="AD67" s="16"/>
      <c r="AE67" s="16"/>
      <c r="AF67" s="16"/>
      <c r="AG67" s="16"/>
      <c r="AH67" s="16"/>
    </row>
    <row r="68" spans="1:34" ht="15">
      <c r="A68" s="16"/>
      <c r="B68" s="16"/>
      <c r="C68" s="16"/>
      <c r="D68" s="16"/>
      <c r="E68" s="16"/>
      <c r="F68" s="16"/>
      <c r="G68" s="16"/>
      <c r="H68" s="16"/>
      <c r="I68" s="16"/>
      <c r="J68" s="16"/>
      <c r="K68" s="16"/>
      <c r="L68" s="16"/>
      <c r="M68" s="16"/>
      <c r="N68" s="16"/>
      <c r="O68" s="16"/>
      <c r="P68" s="16"/>
      <c r="Q68" s="59" t="s">
        <v>122</v>
      </c>
      <c r="R68" s="59"/>
      <c r="S68" s="59"/>
      <c r="T68" s="59"/>
      <c r="U68" s="59"/>
      <c r="V68" s="59"/>
      <c r="W68" s="16"/>
      <c r="X68" s="16"/>
      <c r="Y68" s="16"/>
      <c r="Z68" s="16"/>
      <c r="AA68" s="16"/>
      <c r="AB68" s="16"/>
      <c r="AC68" s="16"/>
      <c r="AD68" s="16"/>
      <c r="AE68" s="16"/>
      <c r="AF68" s="16"/>
      <c r="AG68" s="16"/>
      <c r="AH68" s="16"/>
    </row>
    <row r="69" spans="17:22" ht="12.8">
      <c r="Q69" s="59" t="s">
        <v>123</v>
      </c>
      <c r="R69" s="59"/>
      <c r="S69" s="59"/>
      <c r="T69" s="59"/>
      <c r="U69" s="59">
        <f>4*15%</f>
        <v>0.6</v>
      </c>
      <c r="V69" s="59" t="s">
        <v>124</v>
      </c>
    </row>
    <row r="70" spans="17:22" ht="12.8">
      <c r="Q70" s="59"/>
      <c r="R70" s="59"/>
      <c r="S70" s="59"/>
      <c r="T70" s="59"/>
      <c r="U70" s="59">
        <f>365*24*U69</f>
        <v>5256</v>
      </c>
      <c r="V70" s="59" t="s">
        <v>125</v>
      </c>
    </row>
    <row r="71" spans="17:22" ht="12.8">
      <c r="Q71" s="59"/>
      <c r="R71" s="59"/>
      <c r="S71" s="59"/>
      <c r="T71" s="59"/>
      <c r="U71" s="59">
        <f>U70*1000</f>
        <v>5256000</v>
      </c>
      <c r="V71" s="59" t="s">
        <v>126</v>
      </c>
    </row>
    <row r="72" spans="17:22" ht="12.8">
      <c r="Q72" s="59"/>
      <c r="R72" s="59"/>
      <c r="S72" s="59"/>
      <c r="T72" s="59"/>
      <c r="U72" s="59"/>
      <c r="V72" s="59"/>
    </row>
    <row r="73" spans="17:22" ht="12.8">
      <c r="Q73" s="59" t="s">
        <v>127</v>
      </c>
      <c r="R73" s="59"/>
      <c r="S73" s="59"/>
      <c r="T73" s="59"/>
      <c r="U73" s="59">
        <v>60000</v>
      </c>
      <c r="V73" s="59" t="s">
        <v>128</v>
      </c>
    </row>
    <row r="74" spans="17:22" ht="12.8">
      <c r="Q74" s="59"/>
      <c r="R74" s="59"/>
      <c r="S74" s="59"/>
      <c r="T74" s="59"/>
      <c r="U74" s="59">
        <f>U73*1000</f>
        <v>60000000</v>
      </c>
      <c r="V74" s="59" t="s">
        <v>126</v>
      </c>
    </row>
    <row r="75" spans="17:22" ht="12.8">
      <c r="Q75" s="59"/>
      <c r="R75" s="59"/>
      <c r="S75" s="59"/>
      <c r="T75" s="59"/>
      <c r="U75" s="59"/>
      <c r="V75" s="59"/>
    </row>
    <row r="76" spans="17:22" ht="12.8">
      <c r="Q76" s="59"/>
      <c r="R76" s="59"/>
      <c r="S76" s="59"/>
      <c r="T76" s="59"/>
      <c r="U76" s="59">
        <f>U74/U71</f>
        <v>11.4155251141553</v>
      </c>
      <c r="V76" s="59" t="s">
        <v>129</v>
      </c>
    </row>
    <row r="77" ht="12.8"/>
    <row r="78" ht="12.8"/>
    <row r="79" ht="12.8"/>
    <row r="80" ht="12.8"/>
    <row r="81" ht="12.8"/>
    <row r="82" ht="12.8"/>
    <row r="83" spans="2:23" ht="15">
      <c r="B83" s="16"/>
      <c r="C83" s="16"/>
      <c r="D83" s="16"/>
      <c r="E83" s="16"/>
      <c r="F83" s="16"/>
      <c r="G83" s="16"/>
      <c r="H83" s="16"/>
      <c r="I83" s="16"/>
      <c r="J83" s="16"/>
      <c r="K83" s="16"/>
      <c r="L83" s="16"/>
      <c r="M83" s="16"/>
      <c r="N83" s="16"/>
      <c r="O83" s="16"/>
      <c r="P83" s="16"/>
      <c r="Q83" s="16"/>
      <c r="R83" s="16"/>
      <c r="S83" s="16"/>
      <c r="T83" s="16"/>
      <c r="U83" s="16"/>
      <c r="V83" s="16"/>
      <c r="W83" s="16"/>
    </row>
    <row r="84" spans="1:23" ht="15">
      <c r="A84" s="16"/>
      <c r="B84" s="16"/>
      <c r="C84" s="16"/>
      <c r="D84" s="16"/>
      <c r="E84" s="16"/>
      <c r="F84" s="16"/>
      <c r="G84" s="16"/>
      <c r="H84" s="16"/>
      <c r="I84" s="16"/>
      <c r="J84" s="16"/>
      <c r="K84" s="16"/>
      <c r="L84" s="16"/>
      <c r="M84" s="16"/>
      <c r="N84" s="16"/>
      <c r="O84" s="16"/>
      <c r="P84" s="16"/>
      <c r="Q84" s="16"/>
      <c r="R84" s="16"/>
      <c r="S84" s="16"/>
      <c r="T84" s="16"/>
      <c r="U84" s="16"/>
      <c r="V84" s="16"/>
      <c r="W84" s="16"/>
    </row>
    <row r="85" spans="1:23" ht="15">
      <c r="A85" s="16"/>
      <c r="B85" s="16"/>
      <c r="C85" s="16"/>
      <c r="D85" s="16"/>
      <c r="E85" s="16"/>
      <c r="F85" s="16"/>
      <c r="G85" s="16"/>
      <c r="H85" s="16"/>
      <c r="I85" s="16"/>
      <c r="J85" s="16"/>
      <c r="K85" s="16"/>
      <c r="L85" s="16"/>
      <c r="M85" s="16"/>
      <c r="N85" s="16"/>
      <c r="O85" s="16"/>
      <c r="P85" s="16"/>
      <c r="Q85" s="16"/>
      <c r="R85" s="16"/>
      <c r="S85" s="16"/>
      <c r="T85" s="16"/>
      <c r="U85" s="16"/>
      <c r="V85" s="16"/>
      <c r="W85" s="16"/>
    </row>
    <row r="86" spans="1:22" ht="15">
      <c r="A86" s="16"/>
      <c r="B86" s="16"/>
      <c r="C86" s="16"/>
      <c r="D86" s="16"/>
      <c r="E86" s="16"/>
      <c r="F86" s="16"/>
      <c r="G86" s="16"/>
      <c r="H86" s="16"/>
      <c r="I86" s="16"/>
      <c r="J86" s="16"/>
      <c r="K86" s="16"/>
      <c r="L86" s="16"/>
      <c r="M86" s="16"/>
      <c r="N86" s="16"/>
      <c r="O86" s="16"/>
      <c r="P86" s="16"/>
      <c r="Q86" s="16"/>
      <c r="R86" s="16"/>
      <c r="S86" s="16"/>
      <c r="T86" s="16"/>
      <c r="U86" s="16"/>
      <c r="V86" s="16"/>
    </row>
    <row r="87" spans="1:22" ht="15">
      <c r="A87" s="16"/>
      <c r="B87" s="16"/>
      <c r="C87" s="16"/>
      <c r="D87" s="16"/>
      <c r="E87" s="16"/>
      <c r="F87" s="16"/>
      <c r="G87" s="16"/>
      <c r="H87" s="16"/>
      <c r="I87" s="16"/>
      <c r="J87" s="16"/>
      <c r="K87" s="16"/>
      <c r="L87" s="16"/>
      <c r="M87" s="16"/>
      <c r="N87" s="16"/>
      <c r="O87" s="16"/>
      <c r="P87" s="16"/>
      <c r="Q87" s="16"/>
      <c r="R87" s="16"/>
      <c r="S87" s="16"/>
      <c r="T87" s="16"/>
      <c r="U87" s="16"/>
      <c r="V87" s="16"/>
    </row>
    <row r="88" spans="1:22" ht="15">
      <c r="A88" s="16"/>
      <c r="B88" s="16"/>
      <c r="C88" s="16"/>
      <c r="D88" s="16"/>
      <c r="E88" s="16"/>
      <c r="F88" s="16"/>
      <c r="G88" s="16"/>
      <c r="H88" s="16"/>
      <c r="I88" s="16"/>
      <c r="J88" s="16"/>
      <c r="K88" s="16"/>
      <c r="L88" s="16"/>
      <c r="M88" s="16"/>
      <c r="N88" s="16"/>
      <c r="O88" s="16"/>
      <c r="P88" s="16"/>
      <c r="Q88" s="16"/>
      <c r="R88" s="16"/>
      <c r="S88" s="16"/>
      <c r="T88" s="16"/>
      <c r="U88" s="16"/>
      <c r="V88" s="16"/>
    </row>
    <row r="89" spans="1:22" ht="15">
      <c r="A89" s="16"/>
      <c r="B89" s="16"/>
      <c r="C89" s="16"/>
      <c r="D89" s="16"/>
      <c r="E89" s="16"/>
      <c r="F89" s="16"/>
      <c r="G89" s="16"/>
      <c r="H89" s="16"/>
      <c r="I89" s="16"/>
      <c r="J89" s="16"/>
      <c r="K89" s="16"/>
      <c r="L89" s="16"/>
      <c r="M89" s="16"/>
      <c r="N89" s="16"/>
      <c r="O89" s="16"/>
      <c r="P89" s="16"/>
      <c r="Q89" s="16"/>
      <c r="R89" s="16"/>
      <c r="S89" s="16"/>
      <c r="T89" s="16"/>
      <c r="U89" s="16"/>
      <c r="V89" s="16"/>
    </row>
    <row r="90" spans="1:22" ht="15">
      <c r="A90" s="16"/>
      <c r="B90" s="16"/>
      <c r="C90" s="16"/>
      <c r="D90" s="16"/>
      <c r="E90" s="16"/>
      <c r="F90" s="16"/>
      <c r="G90" s="16"/>
      <c r="H90" s="16"/>
      <c r="I90" s="16"/>
      <c r="J90" s="16"/>
      <c r="K90" s="16"/>
      <c r="L90" s="16"/>
      <c r="M90" s="16"/>
      <c r="N90" s="16"/>
      <c r="O90" s="16"/>
      <c r="P90" s="16"/>
      <c r="Q90" s="16"/>
      <c r="R90" s="16"/>
      <c r="S90" s="16"/>
      <c r="T90" s="16"/>
      <c r="U90" s="16"/>
      <c r="V90" s="16"/>
    </row>
    <row r="91" spans="1:22" ht="15">
      <c r="A91" s="16"/>
      <c r="B91" s="16"/>
      <c r="C91" s="16"/>
      <c r="D91" s="16"/>
      <c r="E91" s="16"/>
      <c r="F91" s="16"/>
      <c r="G91" s="16"/>
      <c r="H91" s="16"/>
      <c r="I91" s="16"/>
      <c r="J91" s="16"/>
      <c r="K91" s="16"/>
      <c r="L91" s="16"/>
      <c r="M91" s="16"/>
      <c r="N91" s="16"/>
      <c r="O91" s="16"/>
      <c r="P91" s="16"/>
      <c r="Q91" s="16"/>
      <c r="R91" s="16"/>
      <c r="S91" s="16"/>
      <c r="T91" s="16"/>
      <c r="U91" s="16"/>
      <c r="V91" s="16"/>
    </row>
    <row r="92" spans="2:22" ht="15">
      <c r="B92" s="16"/>
      <c r="C92" s="16"/>
      <c r="D92" s="16"/>
      <c r="E92" s="16"/>
      <c r="F92" s="16"/>
      <c r="G92" s="16"/>
      <c r="H92" s="16"/>
      <c r="I92" s="16"/>
      <c r="J92" s="16"/>
      <c r="K92" s="16"/>
      <c r="L92" s="16"/>
      <c r="M92" s="16"/>
      <c r="N92" s="16"/>
      <c r="O92" s="16"/>
      <c r="P92" s="16"/>
      <c r="Q92" s="16"/>
      <c r="R92" s="16"/>
      <c r="S92" s="16"/>
      <c r="T92" s="16"/>
      <c r="U92" s="16"/>
      <c r="V92" s="16"/>
    </row>
    <row r="93" spans="1:22" ht="15">
      <c r="A93" s="16"/>
      <c r="B93" s="16"/>
      <c r="C93" s="16"/>
      <c r="D93" s="16"/>
      <c r="E93" s="16"/>
      <c r="F93" s="16"/>
      <c r="G93" s="16"/>
      <c r="H93" s="16"/>
      <c r="I93" s="16"/>
      <c r="J93" s="16"/>
      <c r="K93" s="16"/>
      <c r="L93" s="16"/>
      <c r="M93" s="16"/>
      <c r="N93" s="16"/>
      <c r="O93" s="16"/>
      <c r="P93" s="16"/>
      <c r="Q93" s="16"/>
      <c r="R93" s="16"/>
      <c r="S93" s="16"/>
      <c r="T93" s="16"/>
      <c r="U93" s="16"/>
      <c r="V93" s="16"/>
    </row>
    <row r="94" spans="1:22" ht="15">
      <c r="A94" s="16"/>
      <c r="B94" s="16"/>
      <c r="C94" s="16"/>
      <c r="D94" s="16"/>
      <c r="E94" s="16"/>
      <c r="F94" s="16"/>
      <c r="G94" s="16"/>
      <c r="H94" s="16"/>
      <c r="I94" s="16"/>
      <c r="J94" s="16"/>
      <c r="K94" s="16"/>
      <c r="L94" s="16"/>
      <c r="M94" s="16"/>
      <c r="N94" s="16"/>
      <c r="O94" s="16"/>
      <c r="P94" s="16"/>
      <c r="Q94" s="16"/>
      <c r="R94" s="16"/>
      <c r="S94" s="16"/>
      <c r="T94" s="16"/>
      <c r="U94" s="16"/>
      <c r="V94" s="16"/>
    </row>
    <row r="95" spans="1:22" ht="15">
      <c r="A95" s="16"/>
      <c r="B95" s="16"/>
      <c r="C95" s="16"/>
      <c r="D95" s="16"/>
      <c r="E95" s="16"/>
      <c r="F95" s="16"/>
      <c r="G95" s="16"/>
      <c r="H95" s="16"/>
      <c r="I95" s="16"/>
      <c r="J95" s="16"/>
      <c r="K95" s="16"/>
      <c r="L95" s="16"/>
      <c r="M95" s="16"/>
      <c r="N95" s="16"/>
      <c r="O95" s="16"/>
      <c r="P95" s="16"/>
      <c r="Q95" s="16"/>
      <c r="R95" s="16"/>
      <c r="S95" s="16"/>
      <c r="T95" s="16"/>
      <c r="U95" s="16"/>
      <c r="V95" s="16"/>
    </row>
    <row r="96" spans="1:22" ht="15">
      <c r="A96" s="16"/>
      <c r="B96" s="16"/>
      <c r="C96" s="16"/>
      <c r="D96" s="16"/>
      <c r="E96" s="16"/>
      <c r="F96" s="16"/>
      <c r="G96" s="16"/>
      <c r="H96" s="16"/>
      <c r="I96" s="16"/>
      <c r="J96" s="16"/>
      <c r="K96" s="16"/>
      <c r="L96" s="16"/>
      <c r="M96" s="16"/>
      <c r="N96" s="16"/>
      <c r="O96" s="16"/>
      <c r="P96" s="16"/>
      <c r="Q96" s="16"/>
      <c r="R96" s="16"/>
      <c r="S96" s="16"/>
      <c r="T96" s="16"/>
      <c r="U96" s="16"/>
      <c r="V96" s="16"/>
    </row>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mergeCells count="53">
    <mergeCell ref="C5:E5"/>
    <mergeCell ref="F5:G5"/>
    <mergeCell ref="H5:I5"/>
    <mergeCell ref="J5:Y5"/>
    <mergeCell ref="J6:Y6"/>
    <mergeCell ref="J7:Y7"/>
    <mergeCell ref="J8:Y8"/>
    <mergeCell ref="J9:Y9"/>
    <mergeCell ref="J10:Y10"/>
    <mergeCell ref="A19:C19"/>
    <mergeCell ref="B48:E49"/>
    <mergeCell ref="F48:M48"/>
    <mergeCell ref="N48:Q48"/>
    <mergeCell ref="F49:I49"/>
    <mergeCell ref="J49:M49"/>
    <mergeCell ref="N49:Q49"/>
    <mergeCell ref="B50:E50"/>
    <mergeCell ref="F50:I50"/>
    <mergeCell ref="J50:M50"/>
    <mergeCell ref="N50:Q50"/>
    <mergeCell ref="B51:E51"/>
    <mergeCell ref="F51:I51"/>
    <mergeCell ref="J51:M51"/>
    <mergeCell ref="N51:Q51"/>
    <mergeCell ref="B52:E52"/>
    <mergeCell ref="F52:I52"/>
    <mergeCell ref="J52:M52"/>
    <mergeCell ref="N52:Q52"/>
    <mergeCell ref="C58:D58"/>
    <mergeCell ref="C59:D59"/>
    <mergeCell ref="B61:E61"/>
    <mergeCell ref="F61:H61"/>
    <mergeCell ref="I61:J61"/>
    <mergeCell ref="K61:M61"/>
    <mergeCell ref="N61:O61"/>
    <mergeCell ref="B62:E62"/>
    <mergeCell ref="F62:H62"/>
    <mergeCell ref="I62:J62"/>
    <mergeCell ref="K62:M62"/>
    <mergeCell ref="N62:O62"/>
    <mergeCell ref="B63:E63"/>
    <mergeCell ref="F63:H63"/>
    <mergeCell ref="I63:J63"/>
    <mergeCell ref="K63:M63"/>
    <mergeCell ref="N63:O63"/>
    <mergeCell ref="B64:E64"/>
    <mergeCell ref="F64:H64"/>
    <mergeCell ref="I64:J64"/>
    <mergeCell ref="K64:M64"/>
    <mergeCell ref="N64:O64"/>
    <mergeCell ref="F65:H65"/>
    <mergeCell ref="K65:M65"/>
    <mergeCell ref="N65:O65"/>
  </mergeCells>
  <hyperlinks>
    <hyperlink ref="J24" r:id="rId1" display="Download"/>
    <hyperlink ref="C41" r:id="rId2" display="https://de.wikipedia.org/wiki/Treibhauspotential"/>
  </hyperlink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M60"/>
  <sheetViews>
    <sheetView zoomScale="85" zoomScaleNormal="85" workbookViewId="0" topLeftCell="A1">
      <pane ySplit="3" topLeftCell="A10" activePane="bottomLeft" state="frozen"/>
      <selection pane="topLeft" activeCell="A1" sqref="A1"/>
      <selection pane="bottomLeft" activeCell="D32" sqref="D32"/>
    </sheetView>
  </sheetViews>
  <sheetFormatPr defaultColWidth="10.7109375" defaultRowHeight="12.75"/>
  <cols>
    <col min="1" max="2" width="7.140625" style="0" customWidth="1"/>
    <col min="3" max="3" width="7.57421875" style="60" customWidth="1"/>
    <col min="4" max="4" width="15.140625" style="0" customWidth="1"/>
    <col min="5" max="5" width="19.421875" style="0" customWidth="1"/>
    <col min="6" max="6" width="11.28125" style="0" customWidth="1"/>
    <col min="7" max="7" width="10.140625" style="0" customWidth="1"/>
    <col min="8" max="8" width="10.28125" style="0" customWidth="1"/>
    <col min="9" max="10" width="9.57421875" style="0" customWidth="1"/>
    <col min="11" max="11" width="18.57421875" style="0" customWidth="1"/>
    <col min="12" max="12" width="27.8515625" style="61" customWidth="1"/>
    <col min="13" max="17" width="11.28125" style="0" customWidth="1"/>
    <col min="18" max="18" width="10.421875" style="0" customWidth="1"/>
    <col min="19" max="20" width="11.7109375" style="0" customWidth="1"/>
    <col min="21" max="21" width="10.8515625" style="0" customWidth="1"/>
    <col min="22" max="22" width="11.00390625" style="0" customWidth="1"/>
    <col min="23" max="23" width="11.421875" style="61" customWidth="1"/>
    <col min="24" max="24" width="9.28125" style="61" customWidth="1"/>
    <col min="25" max="25" width="9.28125" style="0" customWidth="1"/>
    <col min="26" max="26" width="9.8515625" style="0" customWidth="1"/>
    <col min="27" max="27" width="8.7109375" style="0" customWidth="1"/>
    <col min="28" max="28" width="10.57421875" style="60" customWidth="1"/>
    <col min="29" max="29" width="9.140625" style="60" customWidth="1"/>
    <col min="30" max="30" width="9.140625" style="0" customWidth="1"/>
    <col min="31" max="31" width="5.7109375" style="0" customWidth="1"/>
    <col min="32" max="32" width="9.140625" style="0" customWidth="1"/>
    <col min="33" max="33" width="8.00390625" style="0" customWidth="1"/>
    <col min="34" max="34" width="29.28125" style="13" customWidth="1"/>
    <col min="1019" max="1024" width="11.57421875" style="0" customWidth="1"/>
  </cols>
  <sheetData>
    <row r="1" spans="5:34" ht="17.35">
      <c r="E1" s="62" t="s">
        <v>130</v>
      </c>
      <c r="H1" s="63" t="s">
        <v>131</v>
      </c>
      <c r="I1" s="64"/>
      <c r="K1" s="59" t="s">
        <v>132</v>
      </c>
      <c r="AH1" s="11"/>
    </row>
    <row r="2" spans="1:31" ht="22.15" customHeight="1">
      <c r="A2" t="s">
        <v>133</v>
      </c>
      <c r="B2" s="18"/>
      <c r="E2" s="65" t="s">
        <v>134</v>
      </c>
      <c r="F2" s="65"/>
      <c r="G2" s="66"/>
      <c r="H2" s="67" t="s">
        <v>135</v>
      </c>
      <c r="I2" s="67"/>
      <c r="J2" s="68" t="s">
        <v>136</v>
      </c>
      <c r="K2" s="68"/>
      <c r="N2" s="38" t="s">
        <v>137</v>
      </c>
      <c r="AE2" s="69" t="s">
        <v>138</v>
      </c>
    </row>
    <row r="3" spans="1:34" s="83" customFormat="1" ht="52.7">
      <c r="A3" s="70" t="s">
        <v>139</v>
      </c>
      <c r="B3" s="71" t="s">
        <v>140</v>
      </c>
      <c r="C3" s="71" t="s">
        <v>141</v>
      </c>
      <c r="D3" s="72" t="s">
        <v>142</v>
      </c>
      <c r="E3" s="73" t="s">
        <v>143</v>
      </c>
      <c r="F3" s="74" t="s">
        <v>144</v>
      </c>
      <c r="G3" s="75" t="s">
        <v>145</v>
      </c>
      <c r="H3" s="75" t="s">
        <v>146</v>
      </c>
      <c r="I3" s="75" t="s">
        <v>147</v>
      </c>
      <c r="J3" s="75" t="s">
        <v>148</v>
      </c>
      <c r="K3" s="76" t="s">
        <v>149</v>
      </c>
      <c r="L3" s="77" t="s">
        <v>150</v>
      </c>
      <c r="M3" s="78" t="s">
        <v>151</v>
      </c>
      <c r="N3" s="78" t="s">
        <v>152</v>
      </c>
      <c r="O3" s="78" t="s">
        <v>153</v>
      </c>
      <c r="P3" s="78" t="s">
        <v>154</v>
      </c>
      <c r="Q3" s="78" t="s">
        <v>155</v>
      </c>
      <c r="R3" s="79" t="s">
        <v>156</v>
      </c>
      <c r="S3" s="79" t="s">
        <v>157</v>
      </c>
      <c r="T3" s="79" t="s">
        <v>158</v>
      </c>
      <c r="U3" s="79" t="s">
        <v>159</v>
      </c>
      <c r="V3" s="80" t="s">
        <v>160</v>
      </c>
      <c r="W3" s="81" t="s">
        <v>161</v>
      </c>
      <c r="X3" s="82" t="s">
        <v>162</v>
      </c>
      <c r="Y3" s="81" t="s">
        <v>163</v>
      </c>
      <c r="Z3" s="81" t="s">
        <v>164</v>
      </c>
      <c r="AA3" s="81" t="s">
        <v>165</v>
      </c>
      <c r="AB3" s="81" t="s">
        <v>166</v>
      </c>
      <c r="AC3" s="81" t="s">
        <v>167</v>
      </c>
      <c r="AD3" s="81" t="s">
        <v>168</v>
      </c>
      <c r="AE3" s="81" t="s">
        <v>169</v>
      </c>
      <c r="AF3" s="81" t="s">
        <v>170</v>
      </c>
      <c r="AG3" s="81" t="s">
        <v>171</v>
      </c>
      <c r="AH3" s="81" t="s">
        <v>172</v>
      </c>
    </row>
    <row r="4" spans="1:34" ht="13.8">
      <c r="A4">
        <f>RANK(AB4,$AB$4:$AB$37)</f>
        <v>16</v>
      </c>
      <c r="B4">
        <f>RANK(AA4,$AA$4:$AA$37)</f>
        <v>19</v>
      </c>
      <c r="C4" s="84">
        <f>RANK(AD4,$AD$4:$AD$37)</f>
        <v>9</v>
      </c>
      <c r="D4" s="85" t="s">
        <v>173</v>
      </c>
      <c r="E4" s="86" t="s">
        <v>174</v>
      </c>
      <c r="F4" s="87" t="s">
        <v>175</v>
      </c>
      <c r="G4" s="88">
        <v>2015</v>
      </c>
      <c r="H4" s="89" t="s">
        <v>58</v>
      </c>
      <c r="I4" s="90">
        <v>23.6</v>
      </c>
      <c r="J4" s="88">
        <v>234</v>
      </c>
      <c r="K4" s="91" t="s">
        <v>176</v>
      </c>
      <c r="L4" s="92" t="s">
        <v>177</v>
      </c>
      <c r="M4" s="93">
        <v>6242.4509921828</v>
      </c>
      <c r="N4" s="93">
        <v>3439.08975444539</v>
      </c>
      <c r="O4" s="93">
        <v>3929.18646365922</v>
      </c>
      <c r="P4" s="93">
        <v>5442.49394673124</v>
      </c>
      <c r="Q4" s="93">
        <v>4213.62437059416</v>
      </c>
      <c r="R4" s="94">
        <v>4660.65115769141</v>
      </c>
      <c r="S4" s="94">
        <v>2675.07681144971</v>
      </c>
      <c r="T4" s="94">
        <v>2904.12072476729</v>
      </c>
      <c r="U4" s="94">
        <v>4186.56313935067</v>
      </c>
      <c r="V4" s="94">
        <v>4455.85372836069</v>
      </c>
      <c r="W4" s="95" t="s">
        <v>59</v>
      </c>
      <c r="X4" s="96">
        <v>0.95</v>
      </c>
      <c r="Y4" s="97">
        <f>AVERAGE(M4:Q4)</f>
        <v>4653.36910552256</v>
      </c>
      <c r="Z4" s="97">
        <f>Y4*VLOOKUP(W4,'Parameter+Grundlagen'!$B$6:$H$10,2,0)</f>
        <v>32573.5837386579</v>
      </c>
      <c r="AA4" s="98">
        <f>Z4*VLOOKUP(W4,'Parameter+Grundlagen'!$B$6:$H$10,5,0)</f>
        <v>2931.62253647921</v>
      </c>
      <c r="AB4" s="99">
        <f>Z4*VLOOKUP(W4,'Parameter+Grundlagen'!$B$6:$H$10,7,0)</f>
        <v>8469.13177205106</v>
      </c>
      <c r="AC4" s="99">
        <f>Z4/I4</f>
        <v>1380.23659909568</v>
      </c>
      <c r="AD4" s="99">
        <f>Z4/J4</f>
        <v>139.203349310504</v>
      </c>
      <c r="AE4" s="99" t="str">
        <f>IF(AD4&lt;30,"A+",IF(AD4&lt;50,"A",IF(AD4&lt;75,"B",IF(AD4&lt;100,"C",IF(AD4&lt;130,"D",IF(AD4&lt;160,"E",IF(AD4&lt;200,"F",IF(AD4&lt;250,"G","H"))))))))</f>
        <v>E</v>
      </c>
      <c r="AF4" s="99">
        <f>AD4/X4</f>
        <v>146.529841379478</v>
      </c>
      <c r="AG4" s="99" t="str">
        <f>IF(AF4&lt;30,"A+",IF(AF4&lt;50,"A",IF(AF4&lt;75,"B",IF(AF4&lt;100,"C",IF(AF4&lt;130,"D",IF(AF4&lt;160,"E",IF(AF4&lt;200,"F",IF(AF4&lt;250,"G","H"))))))))</f>
        <v>E</v>
      </c>
      <c r="AH4" s="100"/>
    </row>
    <row r="5" spans="1:34" ht="22.95">
      <c r="A5">
        <f>RANK(AB5,$AB$4:$AB$37)</f>
        <v>28</v>
      </c>
      <c r="B5">
        <f>RANK(AA5,$AA$4:$AA$37)</f>
        <v>28</v>
      </c>
      <c r="C5" s="84">
        <f>RANK(AD5,$AD$4:$AD$37)</f>
        <v>20</v>
      </c>
      <c r="D5" s="85" t="s">
        <v>178</v>
      </c>
      <c r="E5" s="86" t="s">
        <v>179</v>
      </c>
      <c r="F5" s="87" t="s">
        <v>175</v>
      </c>
      <c r="G5" s="88">
        <v>2017</v>
      </c>
      <c r="H5" s="89" t="s">
        <v>58</v>
      </c>
      <c r="I5" s="90">
        <v>23.8</v>
      </c>
      <c r="J5" s="88">
        <v>104</v>
      </c>
      <c r="K5" s="87"/>
      <c r="L5" s="101"/>
      <c r="M5" s="93">
        <v>743.549007817198</v>
      </c>
      <c r="N5" s="93">
        <v>301.910245554614</v>
      </c>
      <c r="O5" s="93">
        <v>1167.81353634078</v>
      </c>
      <c r="P5" s="93">
        <v>1957.50605326877</v>
      </c>
      <c r="Q5" s="93">
        <v>1227.37562940584</v>
      </c>
      <c r="R5" s="94">
        <v>555.138125781547</v>
      </c>
      <c r="S5" s="94">
        <v>234.839203012449</v>
      </c>
      <c r="T5" s="94">
        <v>863.14852321684</v>
      </c>
      <c r="U5" s="94">
        <v>1505.78443777468</v>
      </c>
      <c r="V5" s="94">
        <v>1297.9339858944</v>
      </c>
      <c r="W5" s="95" t="s">
        <v>59</v>
      </c>
      <c r="X5" s="96">
        <v>1</v>
      </c>
      <c r="Y5" s="97">
        <f>AVERAGE(M5:Q5)</f>
        <v>1079.63089447744</v>
      </c>
      <c r="Z5" s="97">
        <f>Y5*VLOOKUP(W5,'Parameter+Grundlagen'!$B$6:$H$10,2,0)</f>
        <v>7557.41626134208</v>
      </c>
      <c r="AA5" s="98">
        <f>Z5*VLOOKUP(W5,'Parameter+Grundlagen'!$B$6:$H$10,5,0)</f>
        <v>680.167463520788</v>
      </c>
      <c r="AB5" s="99">
        <f>Z5*VLOOKUP(W5,'Parameter+Grundlagen'!$B$6:$H$10,7,0)</f>
        <v>1964.92822794894</v>
      </c>
      <c r="AC5" s="99">
        <f>Z5/I5</f>
        <v>317.538498375718</v>
      </c>
      <c r="AD5" s="99">
        <f>Z5/J5</f>
        <v>72.6674640513662</v>
      </c>
      <c r="AE5" s="99" t="str">
        <f>IF(AD5&lt;30,"A+",IF(AD5&lt;50,"A",IF(AD5&lt;75,"B",IF(AD5&lt;100,"C",IF(AD5&lt;130,"D",IF(AD5&lt;160,"E",IF(AD5&lt;200,"F",IF(AD5&lt;250,"G","H"))))))))</f>
        <v>B</v>
      </c>
      <c r="AF5" s="99">
        <f>AD5/X5</f>
        <v>72.6674640513662</v>
      </c>
      <c r="AG5" s="99" t="str">
        <f>IF(AF5&lt;30,"A+",IF(AF5&lt;50,"A",IF(AF5&lt;75,"B",IF(AF5&lt;100,"C",IF(AF5&lt;130,"D",IF(AF5&lt;160,"E",IF(AF5&lt;200,"F",IF(AF5&lt;250,"G","H"))))))))</f>
        <v>B</v>
      </c>
      <c r="AH5" s="102" t="s">
        <v>180</v>
      </c>
    </row>
    <row r="6" spans="1:34" ht="58.8">
      <c r="A6">
        <f>RANK(AB6,$AB$4:$AB$37)</f>
        <v>5</v>
      </c>
      <c r="B6">
        <f>RANK(AA6,$AA$4:$AA$37)</f>
        <v>8</v>
      </c>
      <c r="C6" s="84">
        <f>RANK(AD6,$AD$4:$AD$37)</f>
        <v>18</v>
      </c>
      <c r="D6" s="85" t="s">
        <v>181</v>
      </c>
      <c r="E6" s="86" t="s">
        <v>182</v>
      </c>
      <c r="F6" s="87" t="s">
        <v>175</v>
      </c>
      <c r="G6" s="88">
        <v>1991</v>
      </c>
      <c r="H6" s="87" t="s">
        <v>183</v>
      </c>
      <c r="I6" s="90">
        <v>210</v>
      </c>
      <c r="J6" s="88">
        <v>790</v>
      </c>
      <c r="K6" s="103" t="s">
        <v>184</v>
      </c>
      <c r="L6" s="101" t="s">
        <v>185</v>
      </c>
      <c r="M6" s="93">
        <v>7503</v>
      </c>
      <c r="N6" s="93">
        <v>6000</v>
      </c>
      <c r="O6" s="93">
        <v>8800</v>
      </c>
      <c r="P6" s="93">
        <v>8105</v>
      </c>
      <c r="Q6" s="93">
        <v>7200</v>
      </c>
      <c r="R6" s="94">
        <v>3578.74484598567</v>
      </c>
      <c r="S6" s="94">
        <v>3502.99915423651</v>
      </c>
      <c r="T6" s="94">
        <v>4610.4</v>
      </c>
      <c r="U6" s="94">
        <v>3791.14927194861</v>
      </c>
      <c r="V6" s="94">
        <v>5779.35272805139</v>
      </c>
      <c r="W6" s="95" t="s">
        <v>52</v>
      </c>
      <c r="X6" s="96">
        <v>0.2</v>
      </c>
      <c r="Y6" s="97">
        <f>AVERAGE(M6:Q6)</f>
        <v>7521.6</v>
      </c>
      <c r="Z6" s="97">
        <f>Y6*VLOOKUP(W6,'Parameter+Grundlagen'!$B$6:$H$10,2,0)</f>
        <v>75216</v>
      </c>
      <c r="AA6" s="98">
        <f>Z6*VLOOKUP(W6,'Parameter+Grundlagen'!$B$6:$H$10,5,0)</f>
        <v>7521.6</v>
      </c>
      <c r="AB6" s="99">
        <f>Z6*VLOOKUP(W6,'Parameter+Grundlagen'!$B$6:$H$10,7,0)</f>
        <v>20308.32</v>
      </c>
      <c r="AC6" s="99">
        <f>Z6/I6</f>
        <v>358.171428571429</v>
      </c>
      <c r="AD6" s="99">
        <f>Z6/J6</f>
        <v>95.2101265822785</v>
      </c>
      <c r="AE6" s="99" t="str">
        <f>IF(AD6&lt;30,"A+",IF(AD6&lt;50,"A",IF(AD6&lt;75,"B",IF(AD6&lt;100,"C",IF(AD6&lt;130,"D",IF(AD6&lt;160,"E",IF(AD6&lt;200,"F",IF(AD6&lt;250,"G","H"))))))))</f>
        <v>C</v>
      </c>
      <c r="AF6" s="99">
        <f>AD6/X6</f>
        <v>476.050632911392</v>
      </c>
      <c r="AG6" s="99" t="str">
        <f>IF(AF6&lt;30,"A+",IF(AF6&lt;50,"A",IF(AF6&lt;75,"B",IF(AF6&lt;100,"C",IF(AF6&lt;130,"D",IF(AF6&lt;160,"E",IF(AF6&lt;200,"F",IF(AF6&lt;250,"G","H"))))))))</f>
        <v>H</v>
      </c>
      <c r="AH6" s="100"/>
    </row>
    <row r="7" spans="1:34" ht="33.9">
      <c r="A7">
        <f>RANK(AB7,$AB$4:$AB$37)</f>
        <v>11</v>
      </c>
      <c r="B7">
        <f>RANK(AA7,$AA$4:$AA$37)</f>
        <v>9</v>
      </c>
      <c r="C7" s="84">
        <f>RANK(AD7,$AD$4:$AD$37)</f>
        <v>13</v>
      </c>
      <c r="D7" s="85" t="s">
        <v>186</v>
      </c>
      <c r="E7" s="104" t="s">
        <v>187</v>
      </c>
      <c r="F7" s="89" t="s">
        <v>188</v>
      </c>
      <c r="G7" s="88">
        <v>1983</v>
      </c>
      <c r="H7" s="105" t="s">
        <v>55</v>
      </c>
      <c r="I7" s="90">
        <v>18</v>
      </c>
      <c r="J7" s="88">
        <v>614</v>
      </c>
      <c r="K7" s="106" t="s">
        <v>189</v>
      </c>
      <c r="L7" s="101" t="s">
        <v>185</v>
      </c>
      <c r="M7" s="107">
        <v>102013</v>
      </c>
      <c r="N7" s="107">
        <v>82087</v>
      </c>
      <c r="O7" s="107">
        <v>69651</v>
      </c>
      <c r="P7" s="107">
        <v>66868</v>
      </c>
      <c r="Q7" s="107">
        <v>67606</v>
      </c>
      <c r="R7" s="108">
        <v>4639.96</v>
      </c>
      <c r="S7" s="108">
        <v>4225.55</v>
      </c>
      <c r="T7" s="108">
        <v>3210.87</v>
      </c>
      <c r="U7" s="108">
        <v>3536.58</v>
      </c>
      <c r="V7" s="109">
        <v>3247.04</v>
      </c>
      <c r="W7" s="95" t="s">
        <v>56</v>
      </c>
      <c r="X7" s="96">
        <v>1</v>
      </c>
      <c r="Y7" s="97">
        <f>AVERAGE(M7:Q7)</f>
        <v>77645</v>
      </c>
      <c r="Z7" s="97">
        <f>Y7*VLOOKUP(W7,'Parameter+Grundlagen'!$B$6:$H$10,2,0)</f>
        <v>77645</v>
      </c>
      <c r="AA7" s="98">
        <f>Z7*VLOOKUP(W7,'Parameter+Grundlagen'!$B$6:$H$10,5,0)</f>
        <v>6988.05</v>
      </c>
      <c r="AB7" s="99">
        <f>Z7*VLOOKUP(W7,'Parameter+Grundlagen'!$B$6:$H$10,7,0)</f>
        <v>15529</v>
      </c>
      <c r="AC7" s="110">
        <f>Z7/I7</f>
        <v>4313.61111111111</v>
      </c>
      <c r="AD7" s="99">
        <f>Z7/J7</f>
        <v>126.457654723127</v>
      </c>
      <c r="AE7" s="99" t="str">
        <f>IF(AD7&lt;30,"A+",IF(AD7&lt;50,"A",IF(AD7&lt;75,"B",IF(AD7&lt;100,"C",IF(AD7&lt;130,"D",IF(AD7&lt;160,"E",IF(AD7&lt;200,"F",IF(AD7&lt;250,"G","H"))))))))</f>
        <v>D</v>
      </c>
      <c r="AF7" s="99">
        <f>AD7/X7</f>
        <v>126.457654723127</v>
      </c>
      <c r="AG7" s="99" t="str">
        <f>IF(AF7&lt;30,"A+",IF(AF7&lt;50,"A",IF(AF7&lt;75,"B",IF(AF7&lt;100,"C",IF(AF7&lt;130,"D",IF(AF7&lt;160,"E",IF(AF7&lt;200,"F",IF(AF7&lt;250,"G","H"))))))))</f>
        <v>D</v>
      </c>
      <c r="AH7" s="102" t="s">
        <v>190</v>
      </c>
    </row>
    <row r="8" spans="1:34" ht="13.8">
      <c r="A8">
        <f>RANK(AB8,$AB$4:$AB$37)</f>
        <v>13</v>
      </c>
      <c r="B8">
        <f>RANK(AA8,$AA$4:$AA$37)</f>
        <v>13</v>
      </c>
      <c r="C8" s="84">
        <f>RANK(AD8,$AD$4:$AD$37)</f>
        <v>19</v>
      </c>
      <c r="D8" s="85" t="s">
        <v>191</v>
      </c>
      <c r="E8" s="86" t="s">
        <v>174</v>
      </c>
      <c r="F8" s="89" t="s">
        <v>188</v>
      </c>
      <c r="G8" s="88">
        <v>2013</v>
      </c>
      <c r="H8" s="105" t="s">
        <v>55</v>
      </c>
      <c r="I8" s="90">
        <v>63</v>
      </c>
      <c r="J8" s="88">
        <v>815</v>
      </c>
      <c r="K8" s="106" t="s">
        <v>192</v>
      </c>
      <c r="L8" s="111"/>
      <c r="M8" s="107">
        <v>57301</v>
      </c>
      <c r="N8" s="107">
        <v>57669</v>
      </c>
      <c r="O8" s="107">
        <v>58978</v>
      </c>
      <c r="P8" s="107">
        <v>70612</v>
      </c>
      <c r="Q8" s="107">
        <v>59114</v>
      </c>
      <c r="R8" s="108">
        <v>2630.03</v>
      </c>
      <c r="S8" s="108">
        <v>2998.84</v>
      </c>
      <c r="T8" s="108">
        <v>2734.29</v>
      </c>
      <c r="U8" s="108">
        <v>3728.7</v>
      </c>
      <c r="V8" s="109">
        <v>2811.55</v>
      </c>
      <c r="W8" s="95" t="s">
        <v>56</v>
      </c>
      <c r="X8" s="96">
        <v>0.95</v>
      </c>
      <c r="Y8" s="97">
        <f>AVERAGE(M8:Q8)</f>
        <v>60734.8</v>
      </c>
      <c r="Z8" s="97">
        <f>Y8*VLOOKUP(W8,'Parameter+Grundlagen'!$B$6:$H$10,2,0)</f>
        <v>60734.8</v>
      </c>
      <c r="AA8" s="98">
        <f>Z8*VLOOKUP(W8,'Parameter+Grundlagen'!$B$6:$H$10,5,0)</f>
        <v>5466.132</v>
      </c>
      <c r="AB8" s="99">
        <f>Z8*VLOOKUP(W8,'Parameter+Grundlagen'!$B$6:$H$10,7,0)</f>
        <v>12146.96</v>
      </c>
      <c r="AC8" s="99">
        <f>Z8/I8</f>
        <v>964.044444444444</v>
      </c>
      <c r="AD8" s="99">
        <f>Z8/J8</f>
        <v>74.521226993865</v>
      </c>
      <c r="AE8" s="99" t="str">
        <f>IF(AD8&lt;30,"A+",IF(AD8&lt;50,"A",IF(AD8&lt;75,"B",IF(AD8&lt;100,"C",IF(AD8&lt;130,"D",IF(AD8&lt;160,"E",IF(AD8&lt;200,"F",IF(AD8&lt;250,"G","H"))))))))</f>
        <v>B</v>
      </c>
      <c r="AF8" s="99">
        <f>AD8/X8</f>
        <v>78.4433968356474</v>
      </c>
      <c r="AG8" s="99" t="str">
        <f>IF(AF8&lt;30,"A+",IF(AF8&lt;50,"A",IF(AF8&lt;75,"B",IF(AF8&lt;100,"C",IF(AF8&lt;130,"D",IF(AF8&lt;160,"E",IF(AF8&lt;200,"F",IF(AF8&lt;250,"G","H"))))))))</f>
        <v>C</v>
      </c>
      <c r="AH8" s="100" t="s">
        <v>193</v>
      </c>
    </row>
    <row r="9" spans="1:34" ht="58.8">
      <c r="A9">
        <f>RANK(AB9,$AB$4:$AB$37)</f>
        <v>9</v>
      </c>
      <c r="B9">
        <f>RANK(AA9,$AA$4:$AA$37)</f>
        <v>7</v>
      </c>
      <c r="C9" s="84">
        <f>RANK(AD9,$AD$4:$AD$37)</f>
        <v>17</v>
      </c>
      <c r="D9" s="85" t="s">
        <v>194</v>
      </c>
      <c r="E9" s="86" t="s">
        <v>195</v>
      </c>
      <c r="F9" s="89" t="s">
        <v>188</v>
      </c>
      <c r="G9" s="88">
        <v>2020</v>
      </c>
      <c r="H9" s="105" t="s">
        <v>196</v>
      </c>
      <c r="I9" s="90">
        <v>150</v>
      </c>
      <c r="J9" s="88">
        <v>785</v>
      </c>
      <c r="K9" s="103" t="s">
        <v>197</v>
      </c>
      <c r="L9" s="111" t="s">
        <v>198</v>
      </c>
      <c r="M9" s="107">
        <v>91465</v>
      </c>
      <c r="N9" s="107">
        <v>95871</v>
      </c>
      <c r="O9" s="107">
        <v>66994</v>
      </c>
      <c r="P9" s="107">
        <v>87267</v>
      </c>
      <c r="Q9" s="107">
        <v>110607</v>
      </c>
      <c r="R9" s="108">
        <v>4196.4</v>
      </c>
      <c r="S9" s="108">
        <v>4960.13</v>
      </c>
      <c r="T9" s="108">
        <v>3142.58</v>
      </c>
      <c r="U9" s="108">
        <v>4634.97</v>
      </c>
      <c r="V9" s="109">
        <v>5426.87</v>
      </c>
      <c r="W9" s="95" t="s">
        <v>56</v>
      </c>
      <c r="X9" s="96">
        <v>0.2</v>
      </c>
      <c r="Y9" s="97">
        <f>AVERAGE(M9:Q9)</f>
        <v>90440.8</v>
      </c>
      <c r="Z9" s="97">
        <f>Y9*VLOOKUP(W9,'Parameter+Grundlagen'!$B$6:$H$10,2,0)</f>
        <v>90440.8</v>
      </c>
      <c r="AA9" s="98">
        <f>Z9*VLOOKUP(W9,'Parameter+Grundlagen'!$B$6:$H$10,5,0)</f>
        <v>8139.672</v>
      </c>
      <c r="AB9" s="99">
        <f>Z9*VLOOKUP(W9,'Parameter+Grundlagen'!$B$6:$H$10,7,0)</f>
        <v>18088.16</v>
      </c>
      <c r="AC9" s="99">
        <f>Z9/I9</f>
        <v>602.938666666667</v>
      </c>
      <c r="AD9" s="99">
        <f>Z9/J9</f>
        <v>115.211210191083</v>
      </c>
      <c r="AE9" s="99" t="str">
        <f>IF(AD9&lt;30,"A+",IF(AD9&lt;50,"A",IF(AD9&lt;75,"B",IF(AD9&lt;100,"C",IF(AD9&lt;130,"D",IF(AD9&lt;160,"E",IF(AD9&lt;200,"F",IF(AD9&lt;250,"G","H"))))))))</f>
        <v>D</v>
      </c>
      <c r="AF9" s="99">
        <f>AD9/X9</f>
        <v>576.056050955414</v>
      </c>
      <c r="AG9" s="99" t="str">
        <f>IF(AF9&lt;30,"A+",IF(AF9&lt;50,"A",IF(AF9&lt;75,"B",IF(AF9&lt;100,"C",IF(AF9&lt;130,"D",IF(AF9&lt;160,"E",IF(AF9&lt;200,"F",IF(AF9&lt;250,"G","H"))))))))</f>
        <v>H</v>
      </c>
      <c r="AH9" s="112"/>
    </row>
    <row r="10" spans="1:34" s="83" customFormat="1" ht="33.8">
      <c r="A10" s="64"/>
      <c r="B10" s="64"/>
      <c r="C10" s="113"/>
      <c r="D10" s="114" t="s">
        <v>199</v>
      </c>
      <c r="E10" s="104" t="s">
        <v>200</v>
      </c>
      <c r="F10" s="89" t="s">
        <v>201</v>
      </c>
      <c r="G10" s="115"/>
      <c r="H10" s="115" t="s">
        <v>202</v>
      </c>
      <c r="I10" s="116"/>
      <c r="J10" s="117"/>
      <c r="K10" s="118"/>
      <c r="L10" s="111" t="s">
        <v>203</v>
      </c>
      <c r="M10" s="107" t="s">
        <v>204</v>
      </c>
      <c r="N10" s="119"/>
      <c r="O10" s="119"/>
      <c r="P10" s="119"/>
      <c r="Q10" s="119"/>
      <c r="R10" s="120"/>
      <c r="S10" s="120"/>
      <c r="T10" s="120"/>
      <c r="U10" s="120"/>
      <c r="V10" s="121"/>
      <c r="W10" s="95" t="s">
        <v>52</v>
      </c>
      <c r="X10" s="96">
        <v>1</v>
      </c>
      <c r="Y10" s="97"/>
      <c r="Z10" s="97"/>
      <c r="AA10" s="98"/>
      <c r="AB10" s="99"/>
      <c r="AC10" s="99"/>
      <c r="AD10" s="99"/>
      <c r="AE10" s="99"/>
      <c r="AF10" s="99"/>
      <c r="AG10" s="99"/>
      <c r="AH10" s="122"/>
    </row>
    <row r="11" spans="1:34" ht="24.3">
      <c r="A11">
        <f>RANK(AB11,$AB$4:$AB$37)</f>
        <v>8</v>
      </c>
      <c r="B11">
        <f>RANK(AA11,$AA$4:$AA$37)</f>
        <v>6</v>
      </c>
      <c r="C11" s="84">
        <f>RANK(AF11,$AF$4:$AF$37)</f>
        <v>8</v>
      </c>
      <c r="D11" s="123" t="s">
        <v>205</v>
      </c>
      <c r="E11" s="86" t="s">
        <v>206</v>
      </c>
      <c r="F11" s="89" t="s">
        <v>201</v>
      </c>
      <c r="G11" s="88">
        <v>1999</v>
      </c>
      <c r="H11" s="105" t="s">
        <v>55</v>
      </c>
      <c r="I11" s="90">
        <v>58</v>
      </c>
      <c r="J11" s="88">
        <v>260</v>
      </c>
      <c r="K11" s="105" t="s">
        <v>207</v>
      </c>
      <c r="L11" s="111"/>
      <c r="M11" s="107">
        <v>100116</v>
      </c>
      <c r="N11" s="107">
        <v>80238</v>
      </c>
      <c r="O11" s="107">
        <v>84649</v>
      </c>
      <c r="P11" s="107">
        <v>110718</v>
      </c>
      <c r="Q11" s="107">
        <v>87907</v>
      </c>
      <c r="R11" s="108">
        <v>4534.52</v>
      </c>
      <c r="S11" s="108">
        <v>4135.36</v>
      </c>
      <c r="T11" s="108">
        <v>3880.51</v>
      </c>
      <c r="U11" s="108">
        <v>5786.65</v>
      </c>
      <c r="V11" s="109">
        <v>4049.49</v>
      </c>
      <c r="W11" s="95" t="s">
        <v>56</v>
      </c>
      <c r="X11" s="96">
        <v>1</v>
      </c>
      <c r="Y11" s="97">
        <f>AVERAGE(M11:Q11)</f>
        <v>92725.6</v>
      </c>
      <c r="Z11" s="97">
        <f>Y11*VLOOKUP(W11,'Parameter+Grundlagen'!$B$6:$H$10,2,0)</f>
        <v>92725.6</v>
      </c>
      <c r="AA11" s="98">
        <f>Z11*VLOOKUP(W11,'Parameter+Grundlagen'!$B$6:$H$10,5,0)</f>
        <v>8345.304</v>
      </c>
      <c r="AB11" s="99">
        <f>Z11*VLOOKUP(W11,'Parameter+Grundlagen'!$B$6:$H$10,7,0)</f>
        <v>18545.12</v>
      </c>
      <c r="AC11" s="99">
        <f>Z11/I11</f>
        <v>1598.71724137931</v>
      </c>
      <c r="AD11" s="99">
        <f>Z11/J11</f>
        <v>356.636923076923</v>
      </c>
      <c r="AE11" s="99" t="str">
        <f>IF(AD11&lt;30,"A+",IF(AD11&lt;50,"A",IF(AD11&lt;75,"B",IF(AD11&lt;100,"C",IF(AD11&lt;130,"D",IF(AD11&lt;160,"E",IF(AD11&lt;200,"F",IF(AD11&lt;250,"G","H"))))))))</f>
        <v>H</v>
      </c>
      <c r="AF11" s="99">
        <f>AD11/X11</f>
        <v>356.636923076923</v>
      </c>
      <c r="AG11" s="99" t="str">
        <f>IF(AF11&lt;30,"A+",IF(AF11&lt;50,"A",IF(AF11&lt;75,"B",IF(AF11&lt;100,"C",IF(AF11&lt;130,"D",IF(AF11&lt;160,"E",IF(AF11&lt;200,"F",IF(AF11&lt;250,"G","H"))))))))</f>
        <v>H</v>
      </c>
      <c r="AH11" s="100"/>
    </row>
    <row r="12" spans="1:34" ht="22.95">
      <c r="A12">
        <f>RANK(AB12,$AB$4:$AB$37)</f>
        <v>15</v>
      </c>
      <c r="B12">
        <f>RANK(AA12,$AA$4:$AA$37)</f>
        <v>15</v>
      </c>
      <c r="C12" s="84">
        <f>RANK(AF12,$AF$4:$AF$37)</f>
        <v>10</v>
      </c>
      <c r="D12" s="85" t="s">
        <v>208</v>
      </c>
      <c r="E12" s="86" t="s">
        <v>209</v>
      </c>
      <c r="F12" s="89" t="s">
        <v>201</v>
      </c>
      <c r="G12" s="88">
        <v>2000</v>
      </c>
      <c r="H12" s="105" t="s">
        <v>196</v>
      </c>
      <c r="I12" s="90">
        <v>59</v>
      </c>
      <c r="J12" s="88">
        <v>230</v>
      </c>
      <c r="K12" s="105" t="s">
        <v>207</v>
      </c>
      <c r="L12" s="111"/>
      <c r="M12" s="107">
        <v>53842</v>
      </c>
      <c r="N12" s="107">
        <v>54175</v>
      </c>
      <c r="O12" s="107">
        <v>52956</v>
      </c>
      <c r="P12" s="107">
        <v>57140</v>
      </c>
      <c r="Q12" s="107">
        <v>50358</v>
      </c>
      <c r="R12" s="108">
        <v>2399.34</v>
      </c>
      <c r="S12" s="108">
        <v>2823.13</v>
      </c>
      <c r="T12" s="108">
        <v>2465.52</v>
      </c>
      <c r="U12" s="108">
        <v>3037.4</v>
      </c>
      <c r="V12" s="109">
        <v>2412.76</v>
      </c>
      <c r="W12" s="95" t="s">
        <v>56</v>
      </c>
      <c r="X12" s="96">
        <v>1</v>
      </c>
      <c r="Y12" s="97">
        <f>AVERAGE(M12:Q12)</f>
        <v>53694.2</v>
      </c>
      <c r="Z12" s="97">
        <f>Y12*VLOOKUP(W12,'Parameter+Grundlagen'!$B$6:$H$10,2,0)</f>
        <v>53694.2</v>
      </c>
      <c r="AA12" s="98">
        <f>Z12*VLOOKUP(W12,'Parameter+Grundlagen'!$B$6:$H$10,5,0)</f>
        <v>4832.478</v>
      </c>
      <c r="AB12" s="99">
        <f>Z12*VLOOKUP(W12,'Parameter+Grundlagen'!$B$6:$H$10,7,0)</f>
        <v>10738.84</v>
      </c>
      <c r="AC12" s="99">
        <f>Z12/I12</f>
        <v>910.071186440678</v>
      </c>
      <c r="AD12" s="99">
        <f>Z12/J12</f>
        <v>233.453043478261</v>
      </c>
      <c r="AE12" s="99" t="str">
        <f>IF(AD12&lt;30,"A+",IF(AD12&lt;50,"A",IF(AD12&lt;75,"B",IF(AD12&lt;100,"C",IF(AD12&lt;130,"D",IF(AD12&lt;160,"E",IF(AD12&lt;200,"F",IF(AD12&lt;250,"G","H"))))))))</f>
        <v>G</v>
      </c>
      <c r="AF12" s="99">
        <f>AD12/X12</f>
        <v>233.453043478261</v>
      </c>
      <c r="AG12" s="99" t="str">
        <f>IF(AF12&lt;30,"A+",IF(AF12&lt;50,"A",IF(AF12&lt;75,"B",IF(AF12&lt;100,"C",IF(AF12&lt;130,"D",IF(AF12&lt;160,"E",IF(AF12&lt;200,"F",IF(AF12&lt;250,"G","H"))))))))</f>
        <v>G</v>
      </c>
      <c r="AH12" s="102" t="s">
        <v>210</v>
      </c>
    </row>
    <row r="13" spans="1:34" ht="99.35">
      <c r="A13">
        <f>RANK(AB13,$AB$4:$AB$37)</f>
        <v>2</v>
      </c>
      <c r="B13">
        <f>RANK(AA13,$AA$4:$AA$37)</f>
        <v>2</v>
      </c>
      <c r="C13" s="84">
        <f>RANK(AF13,$AF$4:$AF$37)</f>
        <v>3</v>
      </c>
      <c r="D13" s="85" t="s">
        <v>211</v>
      </c>
      <c r="E13" s="124" t="s">
        <v>212</v>
      </c>
      <c r="F13" s="89" t="s">
        <v>201</v>
      </c>
      <c r="G13" s="125" t="s">
        <v>213</v>
      </c>
      <c r="H13" s="105" t="s">
        <v>55</v>
      </c>
      <c r="I13" s="90">
        <f>I54+I55</f>
        <v>324.2</v>
      </c>
      <c r="J13" s="107">
        <v>1618</v>
      </c>
      <c r="K13" s="126" t="str">
        <f>CONCATENATE("Summen für beide Kessel  ",K54,K55)</f>
        <v>Summen für beide Kessel  370 Std. /a                                                          im Schnitt die letzten 5 Jahre Seminargebäude ca.                       545 Std. /a                          </v>
      </c>
      <c r="L13" s="111" t="str">
        <f>L54</f>
        <v>Sanierungsfahrplan soll erstellt werden und in diesem Zuge wird die Heizung betrachtet</v>
      </c>
      <c r="M13" s="107">
        <v>308026</v>
      </c>
      <c r="N13" s="107">
        <v>265063</v>
      </c>
      <c r="O13" s="107">
        <v>216687</v>
      </c>
      <c r="P13" s="107">
        <v>272269</v>
      </c>
      <c r="Q13" s="107">
        <v>220548</v>
      </c>
      <c r="R13" s="107">
        <v>13770.8</v>
      </c>
      <c r="S13" s="107">
        <v>13571.55</v>
      </c>
      <c r="T13" s="107">
        <v>9923.32</v>
      </c>
      <c r="U13" s="107">
        <v>14211.16</v>
      </c>
      <c r="V13" s="127">
        <v>10265.67</v>
      </c>
      <c r="W13" s="95" t="s">
        <v>56</v>
      </c>
      <c r="X13" s="96">
        <v>0.25</v>
      </c>
      <c r="Y13" s="97">
        <f>AVERAGE(M13:Q13)</f>
        <v>256518.6</v>
      </c>
      <c r="Z13" s="97">
        <f>Y13*VLOOKUP(W13,'Parameter+Grundlagen'!$B$6:$H$10,2,0)</f>
        <v>256518.6</v>
      </c>
      <c r="AA13" s="98">
        <f>Z13*VLOOKUP(W13,'Parameter+Grundlagen'!$B$6:$H$10,5,0)</f>
        <v>23086.674</v>
      </c>
      <c r="AB13" s="99">
        <f>Z13*VLOOKUP(W13,'Parameter+Grundlagen'!$B$6:$H$10,7,0)</f>
        <v>51303.72</v>
      </c>
      <c r="AC13" s="99">
        <f>Z13/I13</f>
        <v>791.235657001851</v>
      </c>
      <c r="AD13" s="99">
        <f>Z13/J13</f>
        <v>158.540543881335</v>
      </c>
      <c r="AE13" s="99" t="str">
        <f>IF(AD13&lt;30,"A+",IF(AD13&lt;50,"A",IF(AD13&lt;75,"B",IF(AD13&lt;100,"C",IF(AD13&lt;130,"D",IF(AD13&lt;160,"E",IF(AD13&lt;200,"F",IF(AD13&lt;250,"G","H"))))))))</f>
        <v>E</v>
      </c>
      <c r="AF13" s="99">
        <f>AD13/X13</f>
        <v>634.16217552534</v>
      </c>
      <c r="AG13" s="99" t="str">
        <f>IF(AF13&lt;30,"A+",IF(AF13&lt;50,"A",IF(AF13&lt;75,"B",IF(AF13&lt;100,"C",IF(AF13&lt;130,"D",IF(AF13&lt;160,"E",IF(AF13&lt;200,"F",IF(AF13&lt;250,"G","H"))))))))</f>
        <v>H</v>
      </c>
      <c r="AH13" s="100"/>
    </row>
    <row r="14" spans="1:34" ht="33.9">
      <c r="A14">
        <f>RANK(AB14,$AB$4:$AB$37)</f>
        <v>21</v>
      </c>
      <c r="B14">
        <f>RANK(AA14,$AA$4:$AA$37)</f>
        <v>23</v>
      </c>
      <c r="C14" s="84">
        <f>RANK(AF14,$AF$4:$AF$37)</f>
        <v>19</v>
      </c>
      <c r="D14" s="85" t="s">
        <v>214</v>
      </c>
      <c r="E14" s="104" t="s">
        <v>215</v>
      </c>
      <c r="F14" s="89" t="s">
        <v>201</v>
      </c>
      <c r="G14" s="88">
        <v>2000</v>
      </c>
      <c r="H14" s="105" t="s">
        <v>196</v>
      </c>
      <c r="I14" s="90">
        <v>39</v>
      </c>
      <c r="J14" s="88">
        <v>1167</v>
      </c>
      <c r="K14" s="106" t="s">
        <v>216</v>
      </c>
      <c r="L14" s="111" t="s">
        <v>217</v>
      </c>
      <c r="M14" s="107">
        <v>30467</v>
      </c>
      <c r="N14" s="107">
        <v>25179</v>
      </c>
      <c r="O14" s="107">
        <v>22071</v>
      </c>
      <c r="P14" s="107">
        <v>28134</v>
      </c>
      <c r="Q14" s="107">
        <v>18436</v>
      </c>
      <c r="R14" s="128">
        <v>1786.24</v>
      </c>
      <c r="S14" s="128">
        <f>1394.79</f>
        <v>1394.79</v>
      </c>
      <c r="T14" s="128">
        <v>1112.37</v>
      </c>
      <c r="U14" s="128">
        <v>1580.65</v>
      </c>
      <c r="V14" s="129">
        <v>931.21</v>
      </c>
      <c r="W14" s="95" t="s">
        <v>56</v>
      </c>
      <c r="X14" s="96">
        <v>0.25</v>
      </c>
      <c r="Y14" s="97">
        <f>AVERAGE(M14:Q14)</f>
        <v>24857.4</v>
      </c>
      <c r="Z14" s="97">
        <f>Y14*VLOOKUP(W14,'Parameter+Grundlagen'!$B$6:$H$10,2,0)</f>
        <v>24857.4</v>
      </c>
      <c r="AA14" s="98">
        <f>Z14*VLOOKUP(W14,'Parameter+Grundlagen'!$B$6:$H$10,5,0)</f>
        <v>2237.166</v>
      </c>
      <c r="AB14" s="99">
        <f>Z14*VLOOKUP(W14,'Parameter+Grundlagen'!$B$6:$H$10,7,0)</f>
        <v>4971.48</v>
      </c>
      <c r="AC14" s="99">
        <f>Z14/I14</f>
        <v>637.369230769231</v>
      </c>
      <c r="AD14" s="99">
        <f>Z14/J14</f>
        <v>21.3002570694087</v>
      </c>
      <c r="AE14" s="99" t="str">
        <f>IF(AD14&lt;30,"A+",IF(AD14&lt;50,"A",IF(AD14&lt;75,"B",IF(AD14&lt;100,"C",IF(AD14&lt;130,"D",IF(AD14&lt;160,"E",IF(AD14&lt;200,"F",IF(AD14&lt;250,"G","H"))))))))</f>
        <v>A+</v>
      </c>
      <c r="AF14" s="99">
        <f>AD14/X14</f>
        <v>85.201028277635</v>
      </c>
      <c r="AG14" s="99" t="str">
        <f>IF(AF14&lt;30,"A+",IF(AF14&lt;50,"A",IF(AF14&lt;75,"B",IF(AF14&lt;100,"C",IF(AF14&lt;130,"D",IF(AF14&lt;160,"E",IF(AF14&lt;200,"F",IF(AF14&lt;250,"G","H"))))))))</f>
        <v>C</v>
      </c>
      <c r="AH14" s="102" t="s">
        <v>218</v>
      </c>
    </row>
    <row r="15" spans="3:34" ht="33.9">
      <c r="C15" s="84"/>
      <c r="D15" s="85" t="s">
        <v>219</v>
      </c>
      <c r="E15" s="86" t="s">
        <v>220</v>
      </c>
      <c r="F15" s="89" t="s">
        <v>201</v>
      </c>
      <c r="G15" s="88">
        <v>2016</v>
      </c>
      <c r="H15" s="105" t="s">
        <v>55</v>
      </c>
      <c r="I15" s="90">
        <v>30</v>
      </c>
      <c r="J15" s="88">
        <v>305</v>
      </c>
      <c r="K15" s="106" t="s">
        <v>192</v>
      </c>
      <c r="L15" s="111" t="s">
        <v>221</v>
      </c>
      <c r="M15" s="119"/>
      <c r="N15" s="119"/>
      <c r="O15" s="119"/>
      <c r="P15" s="119"/>
      <c r="Q15" s="119"/>
      <c r="R15" s="130"/>
      <c r="S15" s="130"/>
      <c r="T15" s="130"/>
      <c r="U15" s="130"/>
      <c r="V15" s="131"/>
      <c r="W15" s="95" t="s">
        <v>56</v>
      </c>
      <c r="X15" s="96">
        <v>0.95</v>
      </c>
      <c r="Y15" s="97"/>
      <c r="Z15" s="97"/>
      <c r="AA15" s="98"/>
      <c r="AB15" s="99"/>
      <c r="AC15" s="99"/>
      <c r="AD15" s="99"/>
      <c r="AE15" s="99"/>
      <c r="AF15" s="99"/>
      <c r="AG15" s="99"/>
      <c r="AH15" s="100"/>
    </row>
    <row r="16" spans="1:34" ht="24.3">
      <c r="A16">
        <f>RANK(AB16,$AB$4:$AB$37)</f>
        <v>6</v>
      </c>
      <c r="B16">
        <f>RANK(AA16,$AA$4:$AA$37)</f>
        <v>5</v>
      </c>
      <c r="C16" s="84">
        <f>RANK(AF16,$AF$4:$AF$37)</f>
        <v>15</v>
      </c>
      <c r="D16" s="85" t="s">
        <v>222</v>
      </c>
      <c r="E16" s="86" t="s">
        <v>223</v>
      </c>
      <c r="F16" s="89" t="s">
        <v>201</v>
      </c>
      <c r="G16" s="88">
        <v>2017</v>
      </c>
      <c r="H16" s="105" t="s">
        <v>196</v>
      </c>
      <c r="I16" s="90">
        <v>65</v>
      </c>
      <c r="J16" s="88">
        <v>736</v>
      </c>
      <c r="K16" s="106" t="s">
        <v>224</v>
      </c>
      <c r="L16" s="111"/>
      <c r="M16" s="107">
        <v>105270</v>
      </c>
      <c r="N16" s="107">
        <v>95980</v>
      </c>
      <c r="O16" s="107">
        <v>75228</v>
      </c>
      <c r="P16" s="107">
        <v>107127</v>
      </c>
      <c r="Q16" s="107">
        <v>88815</v>
      </c>
      <c r="R16" s="108">
        <v>4780.25</v>
      </c>
      <c r="S16" s="108">
        <v>4926.87</v>
      </c>
      <c r="T16" s="108">
        <v>3459.84</v>
      </c>
      <c r="U16" s="108">
        <v>5602.38</v>
      </c>
      <c r="V16" s="109">
        <v>4210.67</v>
      </c>
      <c r="W16" s="95" t="s">
        <v>56</v>
      </c>
      <c r="X16" s="96">
        <v>0.95</v>
      </c>
      <c r="Y16" s="97">
        <f>AVERAGE(M16:Q16)</f>
        <v>94484</v>
      </c>
      <c r="Z16" s="97">
        <f>Y16*VLOOKUP(W16,'Parameter+Grundlagen'!$B$6:$H$10,2,0)</f>
        <v>94484</v>
      </c>
      <c r="AA16" s="98">
        <f>Z16*VLOOKUP(W16,'Parameter+Grundlagen'!$B$6:$H$10,5,0)</f>
        <v>8503.56</v>
      </c>
      <c r="AB16" s="99">
        <f>Z16*VLOOKUP(W16,'Parameter+Grundlagen'!$B$6:$H$10,7,0)</f>
        <v>18896.8</v>
      </c>
      <c r="AC16" s="99">
        <f>Z16/I16</f>
        <v>1453.6</v>
      </c>
      <c r="AD16" s="99">
        <f>Z16/J16</f>
        <v>128.375</v>
      </c>
      <c r="AE16" s="99" t="str">
        <f>IF(AD16&lt;30,"A+",IF(AD16&lt;50,"A",IF(AD16&lt;75,"B",IF(AD16&lt;100,"C",IF(AD16&lt;130,"D",IF(AD16&lt;160,"E",IF(AD16&lt;200,"F",IF(AD16&lt;250,"G","H"))))))))</f>
        <v>D</v>
      </c>
      <c r="AF16" s="99">
        <f>AD16/X16</f>
        <v>135.131578947368</v>
      </c>
      <c r="AG16" s="99" t="str">
        <f>IF(AF16&lt;30,"A+",IF(AF16&lt;50,"A",IF(AF16&lt;75,"B",IF(AF16&lt;100,"C",IF(AF16&lt;130,"D",IF(AF16&lt;160,"E",IF(AF16&lt;200,"F",IF(AF16&lt;250,"G","H"))))))))</f>
        <v>E</v>
      </c>
      <c r="AH16" s="102" t="s">
        <v>225</v>
      </c>
    </row>
    <row r="17" spans="1:34" ht="47.3">
      <c r="A17">
        <f>RANK(AB17,$AB$4:$AB$37)</f>
        <v>23</v>
      </c>
      <c r="B17">
        <f>RANK(AA17,$AA$4:$AA$37)</f>
        <v>18</v>
      </c>
      <c r="C17" s="84">
        <f>RANK(AF17,$AF$4:$AF$37)</f>
        <v>25</v>
      </c>
      <c r="D17" s="85" t="s">
        <v>226</v>
      </c>
      <c r="E17" s="104" t="s">
        <v>227</v>
      </c>
      <c r="F17" s="89" t="s">
        <v>201</v>
      </c>
      <c r="G17" s="88">
        <v>2016</v>
      </c>
      <c r="H17" s="132" t="s">
        <v>228</v>
      </c>
      <c r="I17" s="133">
        <v>21</v>
      </c>
      <c r="J17" s="88">
        <v>560</v>
      </c>
      <c r="K17" s="106" t="s">
        <v>224</v>
      </c>
      <c r="L17" s="111"/>
      <c r="M17" s="93">
        <v>9235</v>
      </c>
      <c r="N17" s="93">
        <v>11832</v>
      </c>
      <c r="O17" s="93">
        <v>10354</v>
      </c>
      <c r="P17" s="93">
        <v>12593</v>
      </c>
      <c r="Q17" s="93">
        <v>10364</v>
      </c>
      <c r="R17" s="94">
        <v>1833.37</v>
      </c>
      <c r="S17" s="94">
        <v>2184.65</v>
      </c>
      <c r="T17" s="94">
        <v>1918.31</v>
      </c>
      <c r="U17" s="94">
        <v>2390.54</v>
      </c>
      <c r="V17" s="94">
        <v>1913.47</v>
      </c>
      <c r="W17" s="95" t="s">
        <v>46</v>
      </c>
      <c r="X17" s="96">
        <v>0.95</v>
      </c>
      <c r="Y17" s="97">
        <f>AVERAGE(M17:Q17)</f>
        <v>10875.6</v>
      </c>
      <c r="Z17" s="97">
        <f>Y17*VLOOKUP(W17,'Parameter+Grundlagen'!$B$6:$H$10,2,0)</f>
        <v>10875.6</v>
      </c>
      <c r="AA17" s="98">
        <f>Z17*VLOOKUP(W17,'Parameter+Grundlagen'!$B$6:$H$10,5,0)</f>
        <v>3262.68</v>
      </c>
      <c r="AB17" s="99">
        <f>Z17*VLOOKUP(W17,'Parameter+Grundlagen'!$B$6:$H$10,7,0)</f>
        <v>4350.24</v>
      </c>
      <c r="AC17" s="99">
        <f>Z17/I17</f>
        <v>517.885714285714</v>
      </c>
      <c r="AD17" s="99">
        <f>Z17/J17</f>
        <v>19.4207142857143</v>
      </c>
      <c r="AE17" s="99" t="str">
        <f>IF(AD17&lt;30,"A+",IF(AD17&lt;50,"A",IF(AD17&lt;75,"B",IF(AD17&lt;100,"C",IF(AD17&lt;130,"D",IF(AD17&lt;160,"E",IF(AD17&lt;200,"F",IF(AD17&lt;250,"G","H"))))))))</f>
        <v>A+</v>
      </c>
      <c r="AF17" s="99">
        <f>AD17/X17</f>
        <v>20.4428571428571</v>
      </c>
      <c r="AG17" s="99" t="str">
        <f>IF(AF17&lt;30,"A+",IF(AF17&lt;50,"A",IF(AF17&lt;75,"B",IF(AF17&lt;100,"C",IF(AF17&lt;130,"D",IF(AF17&lt;160,"E",IF(AF17&lt;200,"F",IF(AF17&lt;250,"G","H"))))))))</f>
        <v>A+</v>
      </c>
      <c r="AH17" s="102" t="s">
        <v>229</v>
      </c>
    </row>
    <row r="18" spans="1:34" ht="13.8">
      <c r="A18">
        <f>RANK(AB18,$AB$4:$AB$37)</f>
        <v>26</v>
      </c>
      <c r="B18">
        <f>RANK(AA18,$AA$4:$AA$37)</f>
        <v>25</v>
      </c>
      <c r="C18" s="84">
        <f>RANK(AF18,$AF$4:$AF$37)</f>
        <v>14</v>
      </c>
      <c r="D18" s="85" t="s">
        <v>230</v>
      </c>
      <c r="E18" s="86" t="s">
        <v>231</v>
      </c>
      <c r="F18" s="89" t="s">
        <v>201</v>
      </c>
      <c r="G18" s="88">
        <v>2018</v>
      </c>
      <c r="H18" s="105" t="s">
        <v>55</v>
      </c>
      <c r="I18" s="90">
        <v>14</v>
      </c>
      <c r="J18" s="88">
        <v>105</v>
      </c>
      <c r="K18" s="134" t="s">
        <v>232</v>
      </c>
      <c r="L18" s="111"/>
      <c r="M18" s="135">
        <v>13650</v>
      </c>
      <c r="N18" s="135">
        <v>14352</v>
      </c>
      <c r="O18" s="135">
        <v>13791</v>
      </c>
      <c r="P18" s="135">
        <v>15914</v>
      </c>
      <c r="Q18" s="135">
        <v>13621</v>
      </c>
      <c r="R18" s="136"/>
      <c r="S18" s="136"/>
      <c r="T18" s="130"/>
      <c r="U18" s="130"/>
      <c r="V18" s="131"/>
      <c r="W18" s="95" t="s">
        <v>56</v>
      </c>
      <c r="X18" s="96">
        <v>1</v>
      </c>
      <c r="Y18" s="97">
        <f>AVERAGE(M18:Q18)</f>
        <v>14265.6</v>
      </c>
      <c r="Z18" s="97">
        <f>Y18*VLOOKUP(W18,'Parameter+Grundlagen'!$B$6:$H$10,2,0)</f>
        <v>14265.6</v>
      </c>
      <c r="AA18" s="98">
        <f>Z18*VLOOKUP(W18,'Parameter+Grundlagen'!$B$6:$H$10,5,0)</f>
        <v>1283.904</v>
      </c>
      <c r="AB18" s="99">
        <f>Z18*VLOOKUP(W18,'Parameter+Grundlagen'!$B$6:$H$10,7,0)</f>
        <v>2853.12</v>
      </c>
      <c r="AC18" s="99">
        <f>Z18/I18</f>
        <v>1018.97142857143</v>
      </c>
      <c r="AD18" s="99">
        <f>Z18/J18</f>
        <v>135.862857142857</v>
      </c>
      <c r="AE18" s="99" t="str">
        <f>IF(AD18&lt;30,"A+",IF(AD18&lt;50,"A",IF(AD18&lt;75,"B",IF(AD18&lt;100,"C",IF(AD18&lt;130,"D",IF(AD18&lt;160,"E",IF(AD18&lt;200,"F",IF(AD18&lt;250,"G","H"))))))))</f>
        <v>E</v>
      </c>
      <c r="AF18" s="99">
        <f>AD18/X18</f>
        <v>135.862857142857</v>
      </c>
      <c r="AG18" s="99" t="str">
        <f>IF(AF18&lt;30,"A+",IF(AF18&lt;50,"A",IF(AF18&lt;75,"B",IF(AF18&lt;100,"C",IF(AF18&lt;130,"D",IF(AF18&lt;160,"E",IF(AF18&lt;200,"F",IF(AF18&lt;250,"G","H"))))))))</f>
        <v>E</v>
      </c>
      <c r="AH18" s="100"/>
    </row>
    <row r="19" spans="1:34" ht="13.8">
      <c r="A19">
        <f>RANK(AB19,$AB$4:$AB$37)</f>
        <v>27</v>
      </c>
      <c r="B19">
        <f>RANK(AA19,$AA$4:$AA$37)</f>
        <v>27</v>
      </c>
      <c r="C19" s="84">
        <f>RANK(AF19,$AF$4:$AF$37)</f>
        <v>17</v>
      </c>
      <c r="D19" s="85" t="s">
        <v>233</v>
      </c>
      <c r="E19" s="86" t="s">
        <v>234</v>
      </c>
      <c r="F19" s="89" t="s">
        <v>201</v>
      </c>
      <c r="G19" s="88">
        <v>2018</v>
      </c>
      <c r="H19" s="105" t="s">
        <v>196</v>
      </c>
      <c r="I19" s="90">
        <v>14</v>
      </c>
      <c r="J19" s="88">
        <v>90</v>
      </c>
      <c r="K19" s="134" t="s">
        <v>232</v>
      </c>
      <c r="L19" s="111"/>
      <c r="M19" s="135">
        <v>12693</v>
      </c>
      <c r="N19" s="135">
        <v>12414</v>
      </c>
      <c r="O19" s="135">
        <v>10564</v>
      </c>
      <c r="P19" s="135">
        <v>12115</v>
      </c>
      <c r="Q19" s="135">
        <v>8988</v>
      </c>
      <c r="R19" s="136"/>
      <c r="S19" s="136"/>
      <c r="T19" s="130"/>
      <c r="U19" s="130"/>
      <c r="V19" s="131"/>
      <c r="W19" s="95" t="s">
        <v>56</v>
      </c>
      <c r="X19" s="96">
        <v>1</v>
      </c>
      <c r="Y19" s="97">
        <f>AVERAGE(M19:Q19)</f>
        <v>11354.8</v>
      </c>
      <c r="Z19" s="97">
        <f>Y19*VLOOKUP(W19,'Parameter+Grundlagen'!$B$6:$H$10,2,0)</f>
        <v>11354.8</v>
      </c>
      <c r="AA19" s="98">
        <f>Z19*VLOOKUP(W19,'Parameter+Grundlagen'!$B$6:$H$10,5,0)</f>
        <v>1021.932</v>
      </c>
      <c r="AB19" s="99">
        <f>Z19*VLOOKUP(W19,'Parameter+Grundlagen'!$B$6:$H$10,7,0)</f>
        <v>2270.96</v>
      </c>
      <c r="AC19" s="99">
        <f>Z19/I19</f>
        <v>811.057142857143</v>
      </c>
      <c r="AD19" s="99">
        <f>Z19/J19</f>
        <v>126.164444444444</v>
      </c>
      <c r="AE19" s="99" t="str">
        <f>IF(AD19&lt;30,"A+",IF(AD19&lt;50,"A",IF(AD19&lt;75,"B",IF(AD19&lt;100,"C",IF(AD19&lt;130,"D",IF(AD19&lt;160,"E",IF(AD19&lt;200,"F",IF(AD19&lt;250,"G","H"))))))))</f>
        <v>D</v>
      </c>
      <c r="AF19" s="99">
        <f>AD19/X19</f>
        <v>126.164444444444</v>
      </c>
      <c r="AG19" s="99" t="str">
        <f>IF(AF19&lt;30,"A+",IF(AF19&lt;50,"A",IF(AF19&lt;75,"B",IF(AF19&lt;100,"C",IF(AF19&lt;130,"D",IF(AF19&lt;160,"E",IF(AF19&lt;200,"F",IF(AF19&lt;250,"G","H"))))))))</f>
        <v>D</v>
      </c>
      <c r="AH19" s="100"/>
    </row>
    <row r="20" spans="1:34" ht="24.3">
      <c r="A20">
        <f>RANK(AB20,$AB$4:$AB$37)</f>
        <v>19</v>
      </c>
      <c r="B20">
        <f>RANK(AA20,$AA$4:$AA$37)</f>
        <v>20</v>
      </c>
      <c r="C20" s="84">
        <f>RANK(AF20,$AF$4:$AF$37)</f>
        <v>1</v>
      </c>
      <c r="D20" s="85" t="s">
        <v>235</v>
      </c>
      <c r="E20" s="86" t="s">
        <v>236</v>
      </c>
      <c r="F20" s="89" t="s">
        <v>201</v>
      </c>
      <c r="G20" s="88">
        <v>1990</v>
      </c>
      <c r="H20" s="105" t="s">
        <v>196</v>
      </c>
      <c r="I20" s="90">
        <v>24</v>
      </c>
      <c r="J20" s="88">
        <v>260</v>
      </c>
      <c r="K20" s="137" t="s">
        <v>237</v>
      </c>
      <c r="L20" s="111"/>
      <c r="M20" s="107">
        <v>34757</v>
      </c>
      <c r="N20" s="107">
        <v>38384</v>
      </c>
      <c r="O20" s="107">
        <v>30272</v>
      </c>
      <c r="P20" s="107">
        <v>35318</v>
      </c>
      <c r="Q20" s="107">
        <v>23592</v>
      </c>
      <c r="R20" s="108">
        <v>1618.85</v>
      </c>
      <c r="S20" s="108">
        <v>2018.48</v>
      </c>
      <c r="T20" s="108">
        <v>1435.37</v>
      </c>
      <c r="U20" s="108">
        <v>1904.18</v>
      </c>
      <c r="V20" s="109">
        <v>1099.3</v>
      </c>
      <c r="W20" s="95" t="s">
        <v>56</v>
      </c>
      <c r="X20" s="96">
        <v>0.15</v>
      </c>
      <c r="Y20" s="97">
        <f>AVERAGE(M20:Q20)</f>
        <v>32464.6</v>
      </c>
      <c r="Z20" s="97">
        <f>Y20*VLOOKUP(W20,'Parameter+Grundlagen'!$B$6:$H$10,2,0)</f>
        <v>32464.6</v>
      </c>
      <c r="AA20" s="98">
        <f>Z20*VLOOKUP(W20,'Parameter+Grundlagen'!$B$6:$H$10,5,0)</f>
        <v>2921.814</v>
      </c>
      <c r="AB20" s="99">
        <f>Z20*VLOOKUP(W20,'Parameter+Grundlagen'!$B$6:$H$10,7,0)</f>
        <v>6492.92</v>
      </c>
      <c r="AC20" s="99">
        <f>Z20/I20</f>
        <v>1352.69166666667</v>
      </c>
      <c r="AD20" s="99">
        <f>Z20/J20</f>
        <v>124.863846153846</v>
      </c>
      <c r="AE20" s="99" t="str">
        <f>IF(AD20&lt;30,"A+",IF(AD20&lt;50,"A",IF(AD20&lt;75,"B",IF(AD20&lt;100,"C",IF(AD20&lt;130,"D",IF(AD20&lt;160,"E",IF(AD20&lt;200,"F",IF(AD20&lt;250,"G","H"))))))))</f>
        <v>D</v>
      </c>
      <c r="AF20" s="99">
        <f>AD20/X20</f>
        <v>832.425641025641</v>
      </c>
      <c r="AG20" s="99" t="str">
        <f>IF(AF20&lt;30,"A+",IF(AF20&lt;50,"A",IF(AF20&lt;75,"B",IF(AF20&lt;100,"C",IF(AF20&lt;130,"D",IF(AF20&lt;160,"E",IF(AF20&lt;200,"F",IF(AF20&lt;250,"G","H"))))))))</f>
        <v>H</v>
      </c>
      <c r="AH20" s="100"/>
    </row>
    <row r="21" spans="1:34" ht="44.8">
      <c r="A21">
        <f>RANK(AB21,$AB$4:$AB$37)</f>
        <v>12</v>
      </c>
      <c r="B21">
        <f>RANK(AA21,$AA$4:$AA$37)</f>
        <v>10</v>
      </c>
      <c r="C21" s="84"/>
      <c r="D21" s="85" t="s">
        <v>238</v>
      </c>
      <c r="E21" s="138" t="s">
        <v>239</v>
      </c>
      <c r="F21" s="89" t="s">
        <v>201</v>
      </c>
      <c r="G21" s="88">
        <v>1987</v>
      </c>
      <c r="H21" s="105" t="s">
        <v>196</v>
      </c>
      <c r="I21" s="90">
        <v>350</v>
      </c>
      <c r="J21" s="139"/>
      <c r="K21" s="140" t="s">
        <v>240</v>
      </c>
      <c r="L21" s="111" t="s">
        <v>241</v>
      </c>
      <c r="M21" s="107">
        <v>126384</v>
      </c>
      <c r="N21" s="107">
        <v>89945</v>
      </c>
      <c r="O21" s="107">
        <v>26421</v>
      </c>
      <c r="P21" s="107">
        <v>74732</v>
      </c>
      <c r="Q21" s="107">
        <v>68018</v>
      </c>
      <c r="R21" s="108">
        <v>5853.34</v>
      </c>
      <c r="S21" s="108">
        <v>4802.92</v>
      </c>
      <c r="T21" s="108">
        <v>1436.9</v>
      </c>
      <c r="U21" s="108">
        <v>4121.54</v>
      </c>
      <c r="V21" s="109">
        <v>3189.08</v>
      </c>
      <c r="W21" s="95" t="s">
        <v>56</v>
      </c>
      <c r="X21" s="96"/>
      <c r="Y21" s="97">
        <f>AVERAGE(M21:Q21)</f>
        <v>77100</v>
      </c>
      <c r="Z21" s="97">
        <f>Y21*VLOOKUP(W21,'Parameter+Grundlagen'!$B$6:$H$10,2,0)</f>
        <v>77100</v>
      </c>
      <c r="AA21" s="98">
        <f>Z21*VLOOKUP(W21,'Parameter+Grundlagen'!$B$6:$H$10,5,0)</f>
        <v>6939</v>
      </c>
      <c r="AB21" s="99">
        <f>Z21*VLOOKUP(W21,'Parameter+Grundlagen'!$B$6:$H$10,7,0)</f>
        <v>15420</v>
      </c>
      <c r="AC21" s="99">
        <f>Z21/I21</f>
        <v>220.285714285714</v>
      </c>
      <c r="AD21" s="99"/>
      <c r="AE21" s="99"/>
      <c r="AF21" s="99"/>
      <c r="AG21" s="99"/>
      <c r="AH21" s="102" t="s">
        <v>242</v>
      </c>
    </row>
    <row r="22" spans="1:34" ht="24.3">
      <c r="A22" s="64"/>
      <c r="B22" s="64"/>
      <c r="C22" s="113"/>
      <c r="D22" s="85" t="s">
        <v>243</v>
      </c>
      <c r="E22" s="104" t="s">
        <v>244</v>
      </c>
      <c r="F22" s="89" t="s">
        <v>201</v>
      </c>
      <c r="G22" s="88">
        <v>2017</v>
      </c>
      <c r="H22" s="105" t="s">
        <v>55</v>
      </c>
      <c r="I22" s="90">
        <v>22</v>
      </c>
      <c r="J22" s="88">
        <v>120</v>
      </c>
      <c r="K22" s="134" t="s">
        <v>245</v>
      </c>
      <c r="L22" s="111" t="s">
        <v>246</v>
      </c>
      <c r="M22" s="136" t="s">
        <v>247</v>
      </c>
      <c r="N22" s="119"/>
      <c r="O22" s="119"/>
      <c r="P22" s="119"/>
      <c r="Q22" s="119"/>
      <c r="R22" s="119"/>
      <c r="S22" s="119"/>
      <c r="T22" s="130"/>
      <c r="U22" s="130"/>
      <c r="V22" s="131"/>
      <c r="W22" s="95" t="s">
        <v>56</v>
      </c>
      <c r="X22" s="96"/>
      <c r="Y22" s="97"/>
      <c r="Z22" s="97"/>
      <c r="AA22" s="98"/>
      <c r="AB22" s="99"/>
      <c r="AC22" s="99"/>
      <c r="AD22" s="99"/>
      <c r="AE22" s="99"/>
      <c r="AF22" s="99"/>
      <c r="AG22" s="99"/>
      <c r="AH22" s="100"/>
    </row>
    <row r="23" spans="1:34" ht="24.3">
      <c r="A23">
        <f>RANK(AB23,$AB$4:$AB$37)</f>
        <v>18</v>
      </c>
      <c r="B23">
        <f>RANK(AA23,$AA$4:$AA$37)</f>
        <v>17</v>
      </c>
      <c r="C23" s="84"/>
      <c r="D23" s="85" t="s">
        <v>248</v>
      </c>
      <c r="E23" s="104" t="s">
        <v>249</v>
      </c>
      <c r="F23" s="89" t="s">
        <v>201</v>
      </c>
      <c r="G23" s="88">
        <v>1987</v>
      </c>
      <c r="H23" s="105" t="s">
        <v>55</v>
      </c>
      <c r="I23" s="90">
        <v>64</v>
      </c>
      <c r="J23" s="139"/>
      <c r="K23" s="140" t="s">
        <v>250</v>
      </c>
      <c r="L23" s="111"/>
      <c r="M23" s="135">
        <v>33560</v>
      </c>
      <c r="N23" s="93">
        <v>34372</v>
      </c>
      <c r="O23" s="93">
        <v>31546</v>
      </c>
      <c r="P23" s="93">
        <v>36940</v>
      </c>
      <c r="Q23" s="93">
        <v>47367</v>
      </c>
      <c r="R23" s="119"/>
      <c r="S23" s="119"/>
      <c r="T23" s="130"/>
      <c r="U23" s="130"/>
      <c r="V23" s="131"/>
      <c r="W23" s="95" t="s">
        <v>56</v>
      </c>
      <c r="X23" s="96"/>
      <c r="Y23" s="97">
        <f>AVERAGE(M23:Q23)</f>
        <v>36757</v>
      </c>
      <c r="Z23" s="97">
        <f>Y23*VLOOKUP(W23,'Parameter+Grundlagen'!$B$6:$H$10,2,0)</f>
        <v>36757</v>
      </c>
      <c r="AA23" s="98">
        <f>Z23*VLOOKUP(W23,'Parameter+Grundlagen'!$B$6:$H$10,5,0)</f>
        <v>3308.13</v>
      </c>
      <c r="AB23" s="99">
        <f>Z23*VLOOKUP(W23,'Parameter+Grundlagen'!$B$6:$H$10,7,0)</f>
        <v>7351.4</v>
      </c>
      <c r="AC23" s="99">
        <f>Z23/I23</f>
        <v>574.328125</v>
      </c>
      <c r="AD23" s="99"/>
      <c r="AE23" s="99"/>
      <c r="AF23" s="99"/>
      <c r="AG23" s="99"/>
      <c r="AH23" s="100"/>
    </row>
    <row r="24" spans="1:34" ht="24.3">
      <c r="A24">
        <f>RANK(AB24,$AB$4:$AB$37)</f>
        <v>14</v>
      </c>
      <c r="B24">
        <f>RANK(AA24,$AA$4:$AA$37)</f>
        <v>14</v>
      </c>
      <c r="C24" s="84"/>
      <c r="D24" s="85" t="s">
        <v>251</v>
      </c>
      <c r="E24" s="104" t="s">
        <v>252</v>
      </c>
      <c r="F24" s="89" t="s">
        <v>201</v>
      </c>
      <c r="G24" s="88">
        <v>1981</v>
      </c>
      <c r="H24" s="105" t="s">
        <v>55</v>
      </c>
      <c r="I24" s="90">
        <v>55.8</v>
      </c>
      <c r="J24" s="88">
        <v>434</v>
      </c>
      <c r="K24" s="132" t="s">
        <v>253</v>
      </c>
      <c r="L24" s="111" t="s">
        <v>254</v>
      </c>
      <c r="M24" s="135">
        <v>56356</v>
      </c>
      <c r="N24" s="135">
        <v>57391</v>
      </c>
      <c r="O24" s="141" t="s">
        <v>255</v>
      </c>
      <c r="P24" s="107">
        <v>28806</v>
      </c>
      <c r="Q24" s="107">
        <v>85565</v>
      </c>
      <c r="R24" s="136"/>
      <c r="S24" s="136"/>
      <c r="T24" s="136"/>
      <c r="U24" s="128">
        <v>1504.68</v>
      </c>
      <c r="V24" s="129">
        <v>4244.1</v>
      </c>
      <c r="W24" s="95" t="s">
        <v>56</v>
      </c>
      <c r="X24" s="96"/>
      <c r="Y24" s="97">
        <f>AVERAGE(M24:Q24)</f>
        <v>57029.5</v>
      </c>
      <c r="Z24" s="97">
        <f>Y24*VLOOKUP(W24,'Parameter+Grundlagen'!$B$6:$H$10,2,0)</f>
        <v>57029.5</v>
      </c>
      <c r="AA24" s="98">
        <f>Z24*VLOOKUP(W24,'Parameter+Grundlagen'!$B$6:$H$10,5,0)</f>
        <v>5132.655</v>
      </c>
      <c r="AB24" s="99">
        <f>Z24*VLOOKUP(W24,'Parameter+Grundlagen'!$B$6:$H$10,7,0)</f>
        <v>11405.9</v>
      </c>
      <c r="AC24" s="99">
        <f>Z24/I24</f>
        <v>1022.03405017921</v>
      </c>
      <c r="AD24" s="99">
        <f>Z24/J24</f>
        <v>131.404377880184</v>
      </c>
      <c r="AE24" s="99" t="str">
        <f>IF(AD24&lt;30,"A+",IF(AD24&lt;50,"A",IF(AD24&lt;75,"B",IF(AD24&lt;100,"C",IF(AD24&lt;130,"D",IF(AD24&lt;160,"E",IF(AD24&lt;200,"F",IF(AD24&lt;250,"G","H"))))))))</f>
        <v>E</v>
      </c>
      <c r="AF24" s="99"/>
      <c r="AG24" s="99"/>
      <c r="AH24" s="100"/>
    </row>
    <row r="25" spans="1:34" ht="77.55">
      <c r="A25">
        <f>RANK(AB25,$AB$4:$AB$37)</f>
        <v>4</v>
      </c>
      <c r="B25">
        <f>RANK(AA25,$AA$4:$AA$37)</f>
        <v>4</v>
      </c>
      <c r="C25" s="84">
        <f>RANK(AF25,$AF$4:$AF$37)</f>
        <v>9</v>
      </c>
      <c r="D25" s="85" t="s">
        <v>256</v>
      </c>
      <c r="E25" s="142" t="s">
        <v>257</v>
      </c>
      <c r="F25" s="89" t="s">
        <v>201</v>
      </c>
      <c r="G25" s="143">
        <v>2009</v>
      </c>
      <c r="H25" s="144" t="s">
        <v>55</v>
      </c>
      <c r="I25" s="145">
        <v>26.7</v>
      </c>
      <c r="J25" s="143">
        <v>338</v>
      </c>
      <c r="K25" s="146" t="s">
        <v>258</v>
      </c>
      <c r="L25" s="147" t="s">
        <v>259</v>
      </c>
      <c r="M25" s="107">
        <v>94863</v>
      </c>
      <c r="N25" s="107">
        <v>106104</v>
      </c>
      <c r="O25" s="107">
        <v>89378</v>
      </c>
      <c r="P25" s="107">
        <v>127935</v>
      </c>
      <c r="Q25" s="107">
        <v>95433</v>
      </c>
      <c r="R25" s="108">
        <v>4304.75</v>
      </c>
      <c r="S25" s="108">
        <v>5437.05</v>
      </c>
      <c r="T25" s="108">
        <v>4091.69</v>
      </c>
      <c r="U25" s="108">
        <v>6670.07</v>
      </c>
      <c r="V25" s="109">
        <v>4387.21</v>
      </c>
      <c r="W25" s="95" t="s">
        <v>56</v>
      </c>
      <c r="X25" s="96">
        <v>1</v>
      </c>
      <c r="Y25" s="97">
        <f>AVERAGE(M25:Q25)</f>
        <v>102742.6</v>
      </c>
      <c r="Z25" s="97">
        <f>Y25*VLOOKUP(W25,'Parameter+Grundlagen'!$B$6:$H$10,2,0)</f>
        <v>102742.6</v>
      </c>
      <c r="AA25" s="98">
        <f>Z25*VLOOKUP(W25,'Parameter+Grundlagen'!$B$6:$H$10,5,0)</f>
        <v>9246.834</v>
      </c>
      <c r="AB25" s="99">
        <f>Z25*VLOOKUP(W25,'Parameter+Grundlagen'!$B$6:$H$10,7,0)</f>
        <v>20548.52</v>
      </c>
      <c r="AC25" s="110">
        <f>Z25/I25</f>
        <v>3848.03745318352</v>
      </c>
      <c r="AD25" s="99">
        <f>Z25/J25</f>
        <v>303.972189349112</v>
      </c>
      <c r="AE25" s="99" t="str">
        <f>IF(AD25&lt;30,"A+",IF(AD25&lt;50,"A",IF(AD25&lt;75,"B",IF(AD25&lt;100,"C",IF(AD25&lt;130,"D",IF(AD25&lt;160,"E",IF(AD25&lt;200,"F",IF(AD25&lt;250,"G","H"))))))))</f>
        <v>H</v>
      </c>
      <c r="AF25" s="99">
        <f>AD25/X25</f>
        <v>303.972189349112</v>
      </c>
      <c r="AG25" s="99" t="str">
        <f>IF(AF25&lt;30,"A+",IF(AF25&lt;50,"A",IF(AF25&lt;75,"B",IF(AF25&lt;100,"C",IF(AF25&lt;130,"D",IF(AF25&lt;160,"E",IF(AF25&lt;200,"F",IF(AF25&lt;250,"G","H"))))))))</f>
        <v>H</v>
      </c>
      <c r="AH25" s="102" t="s">
        <v>260</v>
      </c>
    </row>
    <row r="26" spans="1:34" ht="58.8">
      <c r="A26">
        <f>RANK(AB26,$AB$4:$AB$37)</f>
        <v>1</v>
      </c>
      <c r="B26">
        <f>RANK(AA26,$AA$4:$AA$37)</f>
        <v>1</v>
      </c>
      <c r="C26" s="84">
        <f>RANK(AF26,$AF$4:$AF$37)</f>
        <v>18</v>
      </c>
      <c r="D26" s="85" t="s">
        <v>261</v>
      </c>
      <c r="E26" s="104" t="s">
        <v>262</v>
      </c>
      <c r="F26" s="89" t="s">
        <v>201</v>
      </c>
      <c r="G26" s="88">
        <v>2000</v>
      </c>
      <c r="H26" s="105" t="s">
        <v>55</v>
      </c>
      <c r="I26" s="90">
        <f>I58+I57</f>
        <v>340</v>
      </c>
      <c r="J26" s="88">
        <v>2413</v>
      </c>
      <c r="K26" s="137" t="s">
        <v>263</v>
      </c>
      <c r="L26" s="111" t="s">
        <v>264</v>
      </c>
      <c r="M26" s="107">
        <v>307478</v>
      </c>
      <c r="N26" s="107">
        <v>305329</v>
      </c>
      <c r="O26" s="107">
        <v>316677</v>
      </c>
      <c r="P26" s="107">
        <v>330862</v>
      </c>
      <c r="Q26" s="107">
        <v>253583</v>
      </c>
      <c r="R26" s="107">
        <v>13848.71</v>
      </c>
      <c r="S26" s="107">
        <v>15580.73</v>
      </c>
      <c r="T26" s="107">
        <v>14343.63</v>
      </c>
      <c r="U26" s="107">
        <v>17195.46</v>
      </c>
      <c r="V26" s="127">
        <v>11613.54</v>
      </c>
      <c r="W26" s="95" t="s">
        <v>56</v>
      </c>
      <c r="X26" s="96">
        <v>1</v>
      </c>
      <c r="Y26" s="97">
        <f>AVERAGE(M26:Q26)</f>
        <v>302785.8</v>
      </c>
      <c r="Z26" s="97">
        <f>Y26*VLOOKUP(W26,'Parameter+Grundlagen'!$B$6:$H$10,2,0)</f>
        <v>302785.8</v>
      </c>
      <c r="AA26" s="98">
        <f>Z26*VLOOKUP(W26,'Parameter+Grundlagen'!$B$6:$H$10,5,0)</f>
        <v>27250.722</v>
      </c>
      <c r="AB26" s="99">
        <f>Z26*VLOOKUP(W26,'Parameter+Grundlagen'!$B$6:$H$10,7,0)</f>
        <v>60557.16</v>
      </c>
      <c r="AC26" s="99">
        <f>Z26/I26</f>
        <v>890.546470588235</v>
      </c>
      <c r="AD26" s="99">
        <f>Z26/J26</f>
        <v>125.481060920017</v>
      </c>
      <c r="AE26" s="99" t="str">
        <f>IF(AD26&lt;30,"A+",IF(AD26&lt;50,"A",IF(AD26&lt;75,"B",IF(AD26&lt;100,"C",IF(AD26&lt;130,"D",IF(AD26&lt;160,"E",IF(AD26&lt;200,"F",IF(AD26&lt;250,"G","H"))))))))</f>
        <v>D</v>
      </c>
      <c r="AF26" s="99">
        <f>AD26/X26</f>
        <v>125.481060920017</v>
      </c>
      <c r="AG26" s="99" t="str">
        <f>IF(AF26&lt;30,"A+",IF(AF26&lt;50,"A",IF(AF26&lt;75,"B",IF(AF26&lt;100,"C",IF(AF26&lt;130,"D",IF(AF26&lt;160,"E",IF(AF26&lt;200,"F",IF(AF26&lt;250,"G","H"))))))))</f>
        <v>D</v>
      </c>
      <c r="AH26" s="100"/>
    </row>
    <row r="27" spans="1:34" ht="47.3">
      <c r="A27">
        <f>RANK(AB27,$AB$4:$AB$37)</f>
        <v>10</v>
      </c>
      <c r="B27">
        <f>RANK(AA27,$AA$4:$AA$37)</f>
        <v>12</v>
      </c>
      <c r="C27" s="84">
        <f>RANK(AF27,$AF$4:$AF$37)</f>
        <v>13</v>
      </c>
      <c r="D27" s="85" t="s">
        <v>265</v>
      </c>
      <c r="E27" s="104" t="s">
        <v>266</v>
      </c>
      <c r="F27" s="87" t="s">
        <v>267</v>
      </c>
      <c r="G27" s="88">
        <v>2004</v>
      </c>
      <c r="H27" s="105" t="s">
        <v>183</v>
      </c>
      <c r="I27" s="90">
        <v>85</v>
      </c>
      <c r="J27" s="88">
        <v>410</v>
      </c>
      <c r="K27" s="137" t="s">
        <v>268</v>
      </c>
      <c r="L27" s="111" t="s">
        <v>269</v>
      </c>
      <c r="M27" s="148">
        <v>3806</v>
      </c>
      <c r="N27" s="148">
        <v>3703</v>
      </c>
      <c r="O27" s="148">
        <v>3300</v>
      </c>
      <c r="P27" s="148">
        <v>9611</v>
      </c>
      <c r="Q27" s="148">
        <v>8482</v>
      </c>
      <c r="R27" s="149">
        <v>1826.1023904064</v>
      </c>
      <c r="S27" s="149">
        <v>2424.14937543476</v>
      </c>
      <c r="T27" s="149">
        <v>1898.53263788969</v>
      </c>
      <c r="U27" s="149">
        <v>5696.05812222222</v>
      </c>
      <c r="V27" s="94">
        <v>8495.17432105302</v>
      </c>
      <c r="W27" s="95" t="s">
        <v>52</v>
      </c>
      <c r="X27" s="96">
        <v>1</v>
      </c>
      <c r="Y27" s="97">
        <f>AVERAGE(M27:Q27)</f>
        <v>5780.4</v>
      </c>
      <c r="Z27" s="97">
        <f>Y27*VLOOKUP(W27,'Parameter+Grundlagen'!$B$6:$H$10,2,0)</f>
        <v>57804</v>
      </c>
      <c r="AA27" s="98">
        <f>Z27*VLOOKUP(W27,'Parameter+Grundlagen'!$B$6:$H$10,5,0)</f>
        <v>5780.4</v>
      </c>
      <c r="AB27" s="99">
        <f>Z27*VLOOKUP(W27,'Parameter+Grundlagen'!$B$6:$H$10,7,0)</f>
        <v>15607.08</v>
      </c>
      <c r="AC27" s="99">
        <f>Z27/I27</f>
        <v>680.047058823529</v>
      </c>
      <c r="AD27" s="99">
        <f>Z27/J27</f>
        <v>140.985365853659</v>
      </c>
      <c r="AE27" s="99" t="str">
        <f>IF(AD27&lt;30,"A+",IF(AD27&lt;50,"A",IF(AD27&lt;75,"B",IF(AD27&lt;100,"C",IF(AD27&lt;130,"D",IF(AD27&lt;160,"E",IF(AD27&lt;200,"F",IF(AD27&lt;250,"G","H"))))))))</f>
        <v>E</v>
      </c>
      <c r="AF27" s="99">
        <f>AD27/X27</f>
        <v>140.985365853659</v>
      </c>
      <c r="AG27" s="99" t="str">
        <f>IF(AF27&lt;30,"A+",IF(AF27&lt;50,"A",IF(AF27&lt;75,"B",IF(AF27&lt;100,"C",IF(AF27&lt;130,"D",IF(AF27&lt;160,"E",IF(AF27&lt;200,"F",IF(AF27&lt;250,"G","H"))))))))</f>
        <v>E</v>
      </c>
      <c r="AH27" s="100"/>
    </row>
    <row r="28" spans="1:34" ht="13.8">
      <c r="A28">
        <f>RANK(AB28,$AB$4:$AB$37)</f>
        <v>24</v>
      </c>
      <c r="B28">
        <f>RANK(AA28,$AA$4:$AA$37)</f>
        <v>26</v>
      </c>
      <c r="C28" s="84">
        <f>RANK(AF28,$AF$4:$AF$37)</f>
        <v>11</v>
      </c>
      <c r="D28" s="85" t="s">
        <v>270</v>
      </c>
      <c r="E28" s="86" t="s">
        <v>271</v>
      </c>
      <c r="F28" s="87" t="s">
        <v>267</v>
      </c>
      <c r="G28" s="88">
        <v>2009</v>
      </c>
      <c r="H28" s="105" t="s">
        <v>183</v>
      </c>
      <c r="I28" s="90">
        <v>19</v>
      </c>
      <c r="J28" s="88">
        <v>276</v>
      </c>
      <c r="K28" s="146" t="s">
        <v>258</v>
      </c>
      <c r="L28" s="111"/>
      <c r="M28" s="148">
        <v>900</v>
      </c>
      <c r="N28" s="148">
        <v>1320</v>
      </c>
      <c r="O28" s="148">
        <v>800</v>
      </c>
      <c r="P28" s="148">
        <v>1505</v>
      </c>
      <c r="Q28" s="148">
        <v>1100</v>
      </c>
      <c r="R28" s="149">
        <v>501.844414232269</v>
      </c>
      <c r="S28" s="149">
        <v>821.529176470588</v>
      </c>
      <c r="T28" s="149">
        <v>549.544392156863</v>
      </c>
      <c r="U28" s="149">
        <v>911.800083333333</v>
      </c>
      <c r="V28" s="94">
        <v>554.221154761905</v>
      </c>
      <c r="W28" s="95" t="s">
        <v>52</v>
      </c>
      <c r="X28" s="96">
        <v>0.2</v>
      </c>
      <c r="Y28" s="97">
        <f>AVERAGE(M28:Q28)</f>
        <v>1125</v>
      </c>
      <c r="Z28" s="97">
        <f>Y28*VLOOKUP(W28,'Parameter+Grundlagen'!$B$6:$H$10,2,0)</f>
        <v>11250</v>
      </c>
      <c r="AA28" s="98">
        <f>Z28*VLOOKUP(W28,'Parameter+Grundlagen'!$B$6:$H$10,5,0)</f>
        <v>1125</v>
      </c>
      <c r="AB28" s="99">
        <f>Z28*VLOOKUP(W28,'Parameter+Grundlagen'!$B$6:$H$10,7,0)</f>
        <v>3037.5</v>
      </c>
      <c r="AC28" s="99">
        <f>Z28/I28</f>
        <v>592.105263157895</v>
      </c>
      <c r="AD28" s="99">
        <f>Z28/J28</f>
        <v>40.7608695652174</v>
      </c>
      <c r="AE28" s="99" t="str">
        <f>IF(AD28&lt;30,"A+",IF(AD28&lt;50,"A",IF(AD28&lt;75,"B",IF(AD28&lt;100,"C",IF(AD28&lt;130,"D",IF(AD28&lt;160,"E",IF(AD28&lt;200,"F",IF(AD28&lt;250,"G","H"))))))))</f>
        <v>A</v>
      </c>
      <c r="AF28" s="99">
        <f>AD28/X28</f>
        <v>203.804347826087</v>
      </c>
      <c r="AG28" s="99" t="str">
        <f>IF(AF28&lt;30,"A+",IF(AF28&lt;50,"A",IF(AF28&lt;75,"B",IF(AF28&lt;100,"C",IF(AF28&lt;130,"D",IF(AF28&lt;160,"E",IF(AF28&lt;200,"F",IF(AF28&lt;250,"G","H"))))))))</f>
        <v>G</v>
      </c>
      <c r="AH28" s="100"/>
    </row>
    <row r="29" spans="1:34" ht="58.8">
      <c r="A29">
        <f>RANK(AB29,$AB$4:$AB$37)</f>
        <v>7</v>
      </c>
      <c r="B29">
        <f>RANK(AA29,$AA$4:$AA$37)</f>
        <v>11</v>
      </c>
      <c r="C29" s="84">
        <f>RANK(AF29,$AF$4:$AF$37)</f>
        <v>4</v>
      </c>
      <c r="D29" s="85" t="s">
        <v>272</v>
      </c>
      <c r="E29" s="86" t="s">
        <v>273</v>
      </c>
      <c r="F29" s="87" t="s">
        <v>267</v>
      </c>
      <c r="G29" s="88">
        <v>2019</v>
      </c>
      <c r="H29" s="105" t="s">
        <v>183</v>
      </c>
      <c r="I29" s="90">
        <v>59.7</v>
      </c>
      <c r="J29" s="88">
        <v>475</v>
      </c>
      <c r="K29" s="103" t="s">
        <v>274</v>
      </c>
      <c r="L29" s="111"/>
      <c r="M29" s="150" t="s">
        <v>275</v>
      </c>
      <c r="N29" s="148">
        <v>8500</v>
      </c>
      <c r="O29" s="148">
        <v>4661</v>
      </c>
      <c r="P29" s="148">
        <v>7404</v>
      </c>
      <c r="Q29" s="148">
        <v>7100</v>
      </c>
      <c r="R29" s="150" t="s">
        <v>275</v>
      </c>
      <c r="S29" s="149">
        <v>5845.87294282287</v>
      </c>
      <c r="T29" s="149">
        <v>3058.99255786272</v>
      </c>
      <c r="U29" s="149">
        <v>3727.62684213728</v>
      </c>
      <c r="V29" s="94">
        <v>5451.58735872093</v>
      </c>
      <c r="W29" s="95" t="s">
        <v>52</v>
      </c>
      <c r="X29" s="96">
        <v>0.25</v>
      </c>
      <c r="Y29" s="97">
        <f>AVERAGE(M29:Q29)</f>
        <v>6916.25</v>
      </c>
      <c r="Z29" s="97">
        <f>Y29*VLOOKUP(W29,'Parameter+Grundlagen'!$B$6:$H$10,2,0)</f>
        <v>69162.5</v>
      </c>
      <c r="AA29" s="98">
        <f>Z29*VLOOKUP(W29,'Parameter+Grundlagen'!$B$6:$H$10,5,0)</f>
        <v>6916.25</v>
      </c>
      <c r="AB29" s="99">
        <f>Z29*VLOOKUP(W29,'Parameter+Grundlagen'!$B$6:$H$10,7,0)</f>
        <v>18673.875</v>
      </c>
      <c r="AC29" s="99">
        <f>Z29/I29</f>
        <v>1158.50083752094</v>
      </c>
      <c r="AD29" s="99">
        <f>Z29/J29</f>
        <v>145.605263157895</v>
      </c>
      <c r="AE29" s="99" t="str">
        <f>IF(AD29&lt;30,"A+",IF(AD29&lt;50,"A",IF(AD29&lt;75,"B",IF(AD29&lt;100,"C",IF(AD29&lt;130,"D",IF(AD29&lt;160,"E",IF(AD29&lt;200,"F",IF(AD29&lt;250,"G","H"))))))))</f>
        <v>E</v>
      </c>
      <c r="AF29" s="99">
        <f>AD29/X29</f>
        <v>582.421052631579</v>
      </c>
      <c r="AG29" s="99" t="str">
        <f>IF(AF29&lt;30,"A+",IF(AF29&lt;50,"A",IF(AF29&lt;75,"B",IF(AF29&lt;100,"C",IF(AF29&lt;130,"D",IF(AF29&lt;160,"E",IF(AF29&lt;200,"F",IF(AF29&lt;250,"G","H"))))))))</f>
        <v>H</v>
      </c>
      <c r="AH29" s="112"/>
    </row>
    <row r="30" spans="1:39" ht="45.3">
      <c r="A30">
        <f>RANK(AB30,$AB$4:$AB$37)</f>
        <v>20</v>
      </c>
      <c r="B30">
        <f>RANK(AA30,$AA$4:$AA$37)</f>
        <v>21</v>
      </c>
      <c r="C30" s="84">
        <f>RANK(AF30,$AF$4:$AF$37)</f>
        <v>22</v>
      </c>
      <c r="D30" s="85" t="s">
        <v>276</v>
      </c>
      <c r="E30" s="86" t="s">
        <v>271</v>
      </c>
      <c r="F30" s="87" t="s">
        <v>277</v>
      </c>
      <c r="G30" s="88">
        <v>1993</v>
      </c>
      <c r="H30" s="105" t="s">
        <v>55</v>
      </c>
      <c r="I30" s="90">
        <v>32</v>
      </c>
      <c r="J30" s="88">
        <v>461</v>
      </c>
      <c r="K30" s="103" t="s">
        <v>258</v>
      </c>
      <c r="L30" s="111" t="s">
        <v>278</v>
      </c>
      <c r="M30" s="107">
        <v>39621</v>
      </c>
      <c r="N30" s="107">
        <v>27998</v>
      </c>
      <c r="O30" s="107">
        <v>32419</v>
      </c>
      <c r="P30" s="107">
        <v>32775</v>
      </c>
      <c r="Q30" s="107">
        <v>26153</v>
      </c>
      <c r="R30" s="108">
        <v>1849.28</v>
      </c>
      <c r="S30" s="108">
        <v>1487.1</v>
      </c>
      <c r="T30" s="108">
        <v>1533.1</v>
      </c>
      <c r="U30" s="108">
        <v>1771.34</v>
      </c>
      <c r="V30" s="109">
        <v>1246.95</v>
      </c>
      <c r="W30" s="95" t="s">
        <v>56</v>
      </c>
      <c r="X30" s="96">
        <v>1</v>
      </c>
      <c r="Y30" s="97">
        <f>AVERAGE(M30:Q30)</f>
        <v>31793.2</v>
      </c>
      <c r="Z30" s="97">
        <f>Y30*VLOOKUP(W30,'Parameter+Grundlagen'!$B$6:$H$10,2,0)</f>
        <v>31793.2</v>
      </c>
      <c r="AA30" s="98">
        <f>Z30*VLOOKUP(W30,'Parameter+Grundlagen'!$B$6:$H$10,5,0)</f>
        <v>2861.388</v>
      </c>
      <c r="AB30" s="99">
        <f>Z30*VLOOKUP(W30,'Parameter+Grundlagen'!$B$6:$H$10,7,0)</f>
        <v>6358.64</v>
      </c>
      <c r="AC30" s="99">
        <f>Z30/I30</f>
        <v>993.5375</v>
      </c>
      <c r="AD30" s="99">
        <f>Z30/J30</f>
        <v>68.965726681128</v>
      </c>
      <c r="AE30" s="99" t="str">
        <f>IF(AD30&lt;30,"A+",IF(AD30&lt;50,"A",IF(AD30&lt;75,"B",IF(AD30&lt;100,"C",IF(AD30&lt;130,"D",IF(AD30&lt;160,"E",IF(AD30&lt;200,"F",IF(AD30&lt;250,"G","H"))))))))</f>
        <v>B</v>
      </c>
      <c r="AF30" s="99">
        <f>AD30/X30</f>
        <v>68.965726681128</v>
      </c>
      <c r="AG30" s="99" t="str">
        <f>IF(AF30&lt;30,"A+",IF(AF30&lt;50,"A",IF(AF30&lt;75,"B",IF(AF30&lt;100,"C",IF(AF30&lt;130,"D",IF(AF30&lt;160,"E",IF(AF30&lt;200,"F",IF(AF30&lt;250,"G","H"))))))))</f>
        <v>B</v>
      </c>
      <c r="AH30" s="112" t="s">
        <v>279</v>
      </c>
      <c r="AI30" s="151"/>
      <c r="AJ30" s="151"/>
      <c r="AK30" s="151"/>
      <c r="AL30" s="151"/>
      <c r="AM30" s="151"/>
    </row>
    <row r="31" spans="3:34" ht="33.9">
      <c r="C31" s="84"/>
      <c r="D31" s="85" t="s">
        <v>280</v>
      </c>
      <c r="E31" s="86" t="s">
        <v>174</v>
      </c>
      <c r="F31" s="87" t="s">
        <v>277</v>
      </c>
      <c r="G31" s="88">
        <v>1988</v>
      </c>
      <c r="H31" s="105" t="s">
        <v>183</v>
      </c>
      <c r="I31" s="90">
        <v>95</v>
      </c>
      <c r="J31" s="88">
        <v>280</v>
      </c>
      <c r="K31" s="137" t="s">
        <v>281</v>
      </c>
      <c r="L31" s="152" t="s">
        <v>282</v>
      </c>
      <c r="M31" s="136" t="s">
        <v>283</v>
      </c>
      <c r="N31" s="141"/>
      <c r="O31" s="141"/>
      <c r="P31" s="141"/>
      <c r="Q31" s="141"/>
      <c r="R31" s="141"/>
      <c r="S31" s="141"/>
      <c r="T31" s="141"/>
      <c r="U31" s="141"/>
      <c r="V31" s="153"/>
      <c r="W31" s="95" t="s">
        <v>52</v>
      </c>
      <c r="X31" s="96">
        <v>0.95</v>
      </c>
      <c r="Y31" s="97"/>
      <c r="Z31" s="97"/>
      <c r="AA31" s="98"/>
      <c r="AB31" s="99"/>
      <c r="AC31" s="99"/>
      <c r="AD31" s="99"/>
      <c r="AE31" s="99"/>
      <c r="AF31" s="99"/>
      <c r="AG31" s="99"/>
      <c r="AH31" s="100"/>
    </row>
    <row r="32" spans="1:34" ht="55.7">
      <c r="A32">
        <f>RANK(AB32,$AB$4:$AB$37)</f>
        <v>22</v>
      </c>
      <c r="B32">
        <f>RANK(AA32,$AA$4:$AA$37)</f>
        <v>24</v>
      </c>
      <c r="C32" s="84">
        <f>RANK(AF32,$AF$4:$AF$37)</f>
        <v>23</v>
      </c>
      <c r="D32" s="85" t="s">
        <v>284</v>
      </c>
      <c r="E32" s="86" t="s">
        <v>182</v>
      </c>
      <c r="F32" s="87" t="s">
        <v>277</v>
      </c>
      <c r="G32" s="88">
        <v>2012</v>
      </c>
      <c r="H32" s="105" t="s">
        <v>55</v>
      </c>
      <c r="I32" s="90">
        <v>80</v>
      </c>
      <c r="J32" s="88">
        <v>855</v>
      </c>
      <c r="K32" s="103" t="s">
        <v>285</v>
      </c>
      <c r="L32" s="111"/>
      <c r="M32" s="107">
        <v>25763</v>
      </c>
      <c r="N32" s="107">
        <v>26460</v>
      </c>
      <c r="O32" s="107">
        <v>15927</v>
      </c>
      <c r="P32" s="107">
        <v>30737</v>
      </c>
      <c r="Q32" s="107">
        <v>24424</v>
      </c>
      <c r="R32" s="108">
        <v>1213.28</v>
      </c>
      <c r="S32" s="108">
        <v>1408.23</v>
      </c>
      <c r="T32" s="108">
        <v>782.23</v>
      </c>
      <c r="U32" s="108">
        <v>1664.91</v>
      </c>
      <c r="V32" s="109">
        <v>1184.52</v>
      </c>
      <c r="W32" s="95" t="s">
        <v>56</v>
      </c>
      <c r="X32" s="96">
        <v>0.5</v>
      </c>
      <c r="Y32" s="97">
        <f>AVERAGE(M32:Q32)</f>
        <v>24662.2</v>
      </c>
      <c r="Z32" s="97">
        <f>Y32*VLOOKUP(W32,'Parameter+Grundlagen'!$B$6:$H$10,2,0)</f>
        <v>24662.2</v>
      </c>
      <c r="AA32" s="98">
        <f>Z32*VLOOKUP(W32,'Parameter+Grundlagen'!$B$6:$H$10,5,0)</f>
        <v>2219.598</v>
      </c>
      <c r="AB32" s="99">
        <f>Z32*VLOOKUP(W32,'Parameter+Grundlagen'!$B$6:$H$10,7,0)</f>
        <v>4932.44</v>
      </c>
      <c r="AC32" s="99">
        <f>Z32/I32</f>
        <v>308.2775</v>
      </c>
      <c r="AD32" s="99">
        <f>Z32/J32</f>
        <v>28.8446783625731</v>
      </c>
      <c r="AE32" s="99" t="str">
        <f>IF(AD32&lt;30,"A+",IF(AD32&lt;50,"A",IF(AD32&lt;75,"B",IF(AD32&lt;100,"C",IF(AD32&lt;130,"D",IF(AD32&lt;160,"E",IF(AD32&lt;200,"F",IF(AD32&lt;250,"G","H"))))))))</f>
        <v>A+</v>
      </c>
      <c r="AF32" s="99">
        <f>AD32/X32</f>
        <v>57.6893567251462</v>
      </c>
      <c r="AG32" s="99" t="str">
        <f>IF(AF32&lt;30,"A+",IF(AF32&lt;50,"A",IF(AF32&lt;75,"B",IF(AF32&lt;100,"C",IF(AF32&lt;130,"D",IF(AF32&lt;160,"E",IF(AF32&lt;200,"F",IF(AF32&lt;250,"G","H"))))))))</f>
        <v>B</v>
      </c>
      <c r="AH32" s="112" t="s">
        <v>279</v>
      </c>
    </row>
    <row r="33" spans="1:34" ht="22.95">
      <c r="A33">
        <f>RANK(AB33,$AB$4:$AB$37)</f>
        <v>17</v>
      </c>
      <c r="B33">
        <f>RANK(AA33,$AA$4:$AA$37)</f>
        <v>16</v>
      </c>
      <c r="C33" s="84">
        <f>RANK(AF33,$AF$4:$AF$37)</f>
        <v>6</v>
      </c>
      <c r="D33" s="85" t="s">
        <v>286</v>
      </c>
      <c r="E33" s="104" t="s">
        <v>287</v>
      </c>
      <c r="F33" s="87" t="s">
        <v>277</v>
      </c>
      <c r="G33" s="88">
        <v>2005</v>
      </c>
      <c r="H33" s="105" t="s">
        <v>196</v>
      </c>
      <c r="I33" s="90">
        <v>24</v>
      </c>
      <c r="J33" s="88">
        <v>70</v>
      </c>
      <c r="K33" s="134" t="s">
        <v>288</v>
      </c>
      <c r="L33" s="111"/>
      <c r="M33" s="107">
        <v>38718</v>
      </c>
      <c r="N33" s="107">
        <v>38622</v>
      </c>
      <c r="O33" s="107">
        <v>32043</v>
      </c>
      <c r="P33" s="107">
        <v>37563</v>
      </c>
      <c r="Q33" s="107">
        <v>38846</v>
      </c>
      <c r="R33" s="108">
        <v>1797.47</v>
      </c>
      <c r="S33" s="108">
        <v>2030.46</v>
      </c>
      <c r="T33" s="108">
        <v>1516</v>
      </c>
      <c r="U33" s="108">
        <v>2021.43</v>
      </c>
      <c r="V33" s="109">
        <v>1903.16</v>
      </c>
      <c r="W33" s="95" t="s">
        <v>56</v>
      </c>
      <c r="X33" s="96">
        <v>1</v>
      </c>
      <c r="Y33" s="97">
        <f>AVERAGE(M33:Q33)</f>
        <v>37158.4</v>
      </c>
      <c r="Z33" s="97">
        <f>Y33*VLOOKUP(W33,'Parameter+Grundlagen'!$B$6:$H$10,2,0)</f>
        <v>37158.4</v>
      </c>
      <c r="AA33" s="98">
        <f>Z33*VLOOKUP(W33,'Parameter+Grundlagen'!$B$6:$H$10,5,0)</f>
        <v>3344.256</v>
      </c>
      <c r="AB33" s="99">
        <f>Z33*VLOOKUP(W33,'Parameter+Grundlagen'!$B$6:$H$10,7,0)</f>
        <v>7431.68</v>
      </c>
      <c r="AC33" s="99">
        <f>Z33/I33</f>
        <v>1548.26666666667</v>
      </c>
      <c r="AD33" s="99">
        <f>Z33/J33</f>
        <v>530.834285714286</v>
      </c>
      <c r="AE33" s="99" t="str">
        <f>IF(AD33&lt;30,"A+",IF(AD33&lt;50,"A",IF(AD33&lt;75,"B",IF(AD33&lt;100,"C",IF(AD33&lt;130,"D",IF(AD33&lt;160,"E",IF(AD33&lt;200,"F",IF(AD33&lt;250,"G","H"))))))))</f>
        <v>H</v>
      </c>
      <c r="AF33" s="99">
        <f>AD33/X33</f>
        <v>530.834285714286</v>
      </c>
      <c r="AG33" s="99" t="str">
        <f>IF(AF33&lt;30,"A+",IF(AF33&lt;50,"A",IF(AF33&lt;75,"B",IF(AF33&lt;100,"C",IF(AF33&lt;130,"D",IF(AF33&lt;160,"E",IF(AF33&lt;200,"F",IF(AF33&lt;250,"G","H"))))))))</f>
        <v>H</v>
      </c>
      <c r="AH33" s="102" t="s">
        <v>289</v>
      </c>
    </row>
    <row r="34" spans="1:34" ht="22.95">
      <c r="A34">
        <f>RANK(AB34,$AB$4:$AB$37)</f>
        <v>25</v>
      </c>
      <c r="B34">
        <f>RANK(AA34,$AA$4:$AA$37)</f>
        <v>22</v>
      </c>
      <c r="C34" s="84">
        <f>RANK(AF34,$AF$4:$AF$37)</f>
        <v>24</v>
      </c>
      <c r="D34" s="85" t="s">
        <v>290</v>
      </c>
      <c r="E34" s="104" t="s">
        <v>291</v>
      </c>
      <c r="F34" s="89" t="s">
        <v>292</v>
      </c>
      <c r="G34" s="88">
        <v>2010</v>
      </c>
      <c r="H34" s="105" t="s">
        <v>293</v>
      </c>
      <c r="I34" s="154"/>
      <c r="J34" s="88">
        <v>600</v>
      </c>
      <c r="K34" s="105"/>
      <c r="L34" s="111"/>
      <c r="M34" s="148">
        <v>4940</v>
      </c>
      <c r="N34" s="148">
        <v>8120</v>
      </c>
      <c r="O34" s="148">
        <v>3500</v>
      </c>
      <c r="P34" s="148">
        <v>5520</v>
      </c>
      <c r="Q34" s="148">
        <v>8500</v>
      </c>
      <c r="R34" s="149">
        <v>1128.6390693531</v>
      </c>
      <c r="S34" s="149">
        <v>2006.3505356937</v>
      </c>
      <c r="T34" s="149">
        <v>920.04</v>
      </c>
      <c r="U34" s="94">
        <v>1421.82797922078</v>
      </c>
      <c r="V34" s="94">
        <v>2116.18064935065</v>
      </c>
      <c r="W34" s="95" t="s">
        <v>62</v>
      </c>
      <c r="X34" s="96">
        <v>1</v>
      </c>
      <c r="Y34" s="97">
        <f>AVERAGE(M34:Q34)</f>
        <v>6116</v>
      </c>
      <c r="Z34" s="97">
        <f>Y34*VLOOKUP(W34,'Parameter+Grundlagen'!$B$6:$H$10,2,0)</f>
        <v>28745.2</v>
      </c>
      <c r="AA34" s="98">
        <f>Z34*VLOOKUP(W34,'Parameter+Grundlagen'!$B$6:$H$10,5,0)</f>
        <v>2299.616</v>
      </c>
      <c r="AB34" s="99">
        <f>Z34*VLOOKUP(W34,'Parameter+Grundlagen'!$B$6:$H$10,7,0)</f>
        <v>2874.52</v>
      </c>
      <c r="AC34" s="99"/>
      <c r="AD34" s="99">
        <f>Z34/J34</f>
        <v>47.9086666666667</v>
      </c>
      <c r="AE34" s="99" t="str">
        <f>IF(AD34&lt;30,"A+",IF(AD34&lt;50,"A",IF(AD34&lt;75,"B",IF(AD34&lt;100,"C",IF(AD34&lt;130,"D",IF(AD34&lt;160,"E",IF(AD34&lt;200,"F",IF(AD34&lt;250,"G","H"))))))))</f>
        <v>A</v>
      </c>
      <c r="AF34" s="99">
        <f>AD34/X34</f>
        <v>47.9086666666667</v>
      </c>
      <c r="AG34" s="99" t="str">
        <f>IF(AF34&lt;30,"A+",IF(AF34&lt;50,"A",IF(AF34&lt;75,"B",IF(AF34&lt;100,"C",IF(AF34&lt;130,"D",IF(AF34&lt;160,"E",IF(AF34&lt;200,"F",IF(AF34&lt;250,"G","H"))))))))</f>
        <v>A</v>
      </c>
      <c r="AH34" s="100" t="s">
        <v>294</v>
      </c>
    </row>
    <row r="35" spans="1:34" ht="44.8">
      <c r="A35">
        <f>RANK(AB35,$AB$4:$AB$37)</f>
        <v>3</v>
      </c>
      <c r="B35">
        <f>RANK(AA35,$AA$4:$AA$37)</f>
        <v>3</v>
      </c>
      <c r="C35" s="84">
        <f>RANK(AF35,$AF$4:$AF$37)</f>
        <v>2</v>
      </c>
      <c r="D35" s="85" t="s">
        <v>295</v>
      </c>
      <c r="E35" s="86" t="s">
        <v>296</v>
      </c>
      <c r="F35" s="89" t="s">
        <v>292</v>
      </c>
      <c r="G35" s="88">
        <v>2018</v>
      </c>
      <c r="H35" s="105" t="s">
        <v>183</v>
      </c>
      <c r="I35" s="90">
        <v>145</v>
      </c>
      <c r="J35" s="88">
        <v>601</v>
      </c>
      <c r="K35" s="103" t="s">
        <v>297</v>
      </c>
      <c r="L35" s="111" t="s">
        <v>298</v>
      </c>
      <c r="M35" s="148">
        <v>12943</v>
      </c>
      <c r="N35" s="148">
        <v>11502</v>
      </c>
      <c r="O35" s="148">
        <v>10728</v>
      </c>
      <c r="P35" s="148">
        <v>11470</v>
      </c>
      <c r="Q35" s="148">
        <v>11086</v>
      </c>
      <c r="R35" s="149">
        <v>2984.13</v>
      </c>
      <c r="S35" s="149">
        <v>7309.52</v>
      </c>
      <c r="T35" s="149">
        <v>5639.71</v>
      </c>
      <c r="U35" s="94">
        <v>6227.06</v>
      </c>
      <c r="V35" s="94">
        <v>10416.41</v>
      </c>
      <c r="W35" s="95" t="s">
        <v>52</v>
      </c>
      <c r="X35" s="96">
        <v>0.25</v>
      </c>
      <c r="Y35" s="97">
        <f>AVERAGE(M35:Q35)</f>
        <v>11545.8</v>
      </c>
      <c r="Z35" s="97">
        <f>Y35*VLOOKUP(W35,'Parameter+Grundlagen'!$B$6:$H$10,2,0)</f>
        <v>115458</v>
      </c>
      <c r="AA35" s="98">
        <f>Z35*VLOOKUP(W35,'Parameter+Grundlagen'!$B$6:$H$10,5,0)</f>
        <v>11545.8</v>
      </c>
      <c r="AB35" s="99">
        <f>Z35*VLOOKUP(W35,'Parameter+Grundlagen'!$B$6:$H$10,7,0)</f>
        <v>31173.66</v>
      </c>
      <c r="AC35" s="99">
        <f>Z35/I35</f>
        <v>796.262068965517</v>
      </c>
      <c r="AD35" s="99">
        <f>Z35/J35</f>
        <v>192.109816971714</v>
      </c>
      <c r="AE35" s="99" t="str">
        <f>IF(AD35&lt;30,"A+",IF(AD35&lt;50,"A",IF(AD35&lt;75,"B",IF(AD35&lt;100,"C",IF(AD35&lt;130,"D",IF(AD35&lt;160,"E",IF(AD35&lt;200,"F",IF(AD35&lt;250,"G","H"))))))))</f>
        <v>F</v>
      </c>
      <c r="AF35" s="99">
        <f>AD35/X35</f>
        <v>768.439267886855</v>
      </c>
      <c r="AG35" s="99" t="str">
        <f>IF(AF35&lt;30,"A+",IF(AF35&lt;50,"A",IF(AF35&lt;75,"B",IF(AF35&lt;100,"C",IF(AF35&lt;130,"D",IF(AF35&lt;160,"E",IF(AF35&lt;200,"F",IF(AF35&lt;250,"G","H"))))))))</f>
        <v>H</v>
      </c>
      <c r="AH35" s="112" t="s">
        <v>299</v>
      </c>
    </row>
    <row r="36" spans="3:34" ht="13.8">
      <c r="C36" s="84"/>
      <c r="D36" s="85" t="s">
        <v>300</v>
      </c>
      <c r="E36" s="86" t="s">
        <v>174</v>
      </c>
      <c r="F36" s="89" t="s">
        <v>292</v>
      </c>
      <c r="G36" s="154" t="s">
        <v>301</v>
      </c>
      <c r="H36" s="154"/>
      <c r="I36" s="90"/>
      <c r="J36" s="88">
        <v>281</v>
      </c>
      <c r="K36" s="155" t="s">
        <v>302</v>
      </c>
      <c r="L36" s="111"/>
      <c r="M36" s="156" t="s">
        <v>303</v>
      </c>
      <c r="N36" s="156"/>
      <c r="O36" s="156"/>
      <c r="P36" s="156"/>
      <c r="Q36" s="156"/>
      <c r="R36" s="157"/>
      <c r="S36" s="157"/>
      <c r="T36" s="157"/>
      <c r="U36" s="158"/>
      <c r="V36" s="158"/>
      <c r="W36" s="95" t="s">
        <v>52</v>
      </c>
      <c r="X36" s="96">
        <v>0.95</v>
      </c>
      <c r="Y36" s="97"/>
      <c r="Z36" s="97"/>
      <c r="AA36" s="98"/>
      <c r="AB36" s="99"/>
      <c r="AC36" s="99"/>
      <c r="AD36" s="99"/>
      <c r="AE36" s="99"/>
      <c r="AF36" s="99"/>
      <c r="AG36" s="99"/>
      <c r="AH36" s="100" t="s">
        <v>304</v>
      </c>
    </row>
    <row r="37" spans="3:34" ht="13.8">
      <c r="C37" s="84"/>
      <c r="D37" s="85" t="s">
        <v>305</v>
      </c>
      <c r="E37" s="86" t="s">
        <v>306</v>
      </c>
      <c r="F37" s="89" t="s">
        <v>292</v>
      </c>
      <c r="G37" s="154" t="s">
        <v>301</v>
      </c>
      <c r="H37" s="154"/>
      <c r="I37" s="90"/>
      <c r="J37" s="88">
        <v>209</v>
      </c>
      <c r="K37" s="134" t="s">
        <v>307</v>
      </c>
      <c r="L37" s="111"/>
      <c r="M37" s="156" t="s">
        <v>303</v>
      </c>
      <c r="N37" s="156"/>
      <c r="O37" s="156"/>
      <c r="P37" s="156"/>
      <c r="Q37" s="156"/>
      <c r="R37" s="157"/>
      <c r="S37" s="157"/>
      <c r="T37" s="157"/>
      <c r="U37" s="158"/>
      <c r="V37" s="158"/>
      <c r="W37" s="95" t="s">
        <v>52</v>
      </c>
      <c r="X37" s="96">
        <v>1</v>
      </c>
      <c r="Y37" s="97"/>
      <c r="Z37" s="97"/>
      <c r="AA37" s="98"/>
      <c r="AB37" s="99"/>
      <c r="AC37" s="99"/>
      <c r="AD37" s="99"/>
      <c r="AE37" s="99"/>
      <c r="AF37" s="99"/>
      <c r="AG37" s="99"/>
      <c r="AH37" s="100" t="s">
        <v>304</v>
      </c>
    </row>
    <row r="38" spans="3:34" ht="13.8">
      <c r="C38" s="84"/>
      <c r="D38" s="85"/>
      <c r="E38" s="86"/>
      <c r="F38" s="89"/>
      <c r="G38" s="105"/>
      <c r="H38" s="105"/>
      <c r="I38" s="90"/>
      <c r="J38" s="88"/>
      <c r="K38" s="105"/>
      <c r="L38" s="111"/>
      <c r="M38" s="141"/>
      <c r="N38" s="141"/>
      <c r="O38" s="141"/>
      <c r="P38" s="141"/>
      <c r="Q38" s="141"/>
      <c r="R38" s="159"/>
      <c r="S38" s="159"/>
      <c r="T38" s="159"/>
      <c r="U38" s="159"/>
      <c r="V38" s="160"/>
      <c r="W38" s="95"/>
      <c r="X38" s="97"/>
      <c r="Y38" s="97"/>
      <c r="Z38" s="97"/>
      <c r="AA38" s="98"/>
      <c r="AB38" s="99"/>
      <c r="AC38" s="99"/>
      <c r="AD38" s="99"/>
      <c r="AE38" s="99"/>
      <c r="AF38" s="99"/>
      <c r="AG38" s="99"/>
      <c r="AH38" s="100"/>
    </row>
    <row r="39" spans="3:34" ht="13.8">
      <c r="C39" s="84"/>
      <c r="D39" s="85"/>
      <c r="E39" s="86"/>
      <c r="F39" s="89"/>
      <c r="G39" s="105"/>
      <c r="H39" s="105"/>
      <c r="I39" s="90"/>
      <c r="J39" s="88"/>
      <c r="K39" s="105"/>
      <c r="L39" s="111"/>
      <c r="M39" s="141"/>
      <c r="N39" s="141"/>
      <c r="O39" s="141"/>
      <c r="P39" s="141"/>
      <c r="Q39" s="141"/>
      <c r="R39" s="159"/>
      <c r="S39" s="159"/>
      <c r="T39" s="159"/>
      <c r="U39" s="159"/>
      <c r="V39" s="160"/>
      <c r="W39" s="95"/>
      <c r="X39" s="97"/>
      <c r="Y39" s="97"/>
      <c r="Z39" s="97"/>
      <c r="AA39" s="98"/>
      <c r="AB39" s="99"/>
      <c r="AC39" s="99"/>
      <c r="AD39" s="99"/>
      <c r="AE39" s="99"/>
      <c r="AF39" s="99"/>
      <c r="AG39" s="99"/>
      <c r="AH39" s="100"/>
    </row>
    <row r="40" spans="3:34" ht="13.8">
      <c r="C40" s="84"/>
      <c r="D40" s="85"/>
      <c r="E40" s="86"/>
      <c r="F40" s="89"/>
      <c r="G40" s="105"/>
      <c r="H40" s="105"/>
      <c r="I40" s="90"/>
      <c r="J40" s="88"/>
      <c r="K40" s="105"/>
      <c r="L40" s="111"/>
      <c r="M40" s="141"/>
      <c r="N40" s="141"/>
      <c r="O40" s="141"/>
      <c r="P40" s="141"/>
      <c r="Q40" s="141"/>
      <c r="R40" s="159"/>
      <c r="S40" s="159"/>
      <c r="T40" s="159"/>
      <c r="U40" s="159"/>
      <c r="V40" s="160"/>
      <c r="W40" s="95"/>
      <c r="X40" s="97"/>
      <c r="Y40" s="97"/>
      <c r="Z40" s="97"/>
      <c r="AA40" s="98"/>
      <c r="AB40" s="99"/>
      <c r="AC40" s="99"/>
      <c r="AD40" s="99"/>
      <c r="AE40" s="99"/>
      <c r="AF40" s="99"/>
      <c r="AG40" s="99"/>
      <c r="AH40" s="100"/>
    </row>
    <row r="41" spans="3:34" ht="13.8">
      <c r="C41" s="84"/>
      <c r="D41" s="85"/>
      <c r="E41" s="86"/>
      <c r="F41" s="89"/>
      <c r="G41" s="105"/>
      <c r="H41" s="105"/>
      <c r="I41" s="90"/>
      <c r="J41" s="88"/>
      <c r="K41" s="105"/>
      <c r="L41" s="111"/>
      <c r="M41" s="141"/>
      <c r="N41" s="141"/>
      <c r="O41" s="141"/>
      <c r="P41" s="141"/>
      <c r="Q41" s="141"/>
      <c r="R41" s="159"/>
      <c r="S41" s="159"/>
      <c r="T41" s="159"/>
      <c r="U41" s="159"/>
      <c r="V41" s="160"/>
      <c r="W41" s="95"/>
      <c r="X41" s="97"/>
      <c r="Y41" s="97"/>
      <c r="Z41" s="97"/>
      <c r="AA41" s="98"/>
      <c r="AB41" s="99"/>
      <c r="AC41" s="99"/>
      <c r="AD41" s="99"/>
      <c r="AE41" s="99"/>
      <c r="AF41" s="99"/>
      <c r="AG41" s="99"/>
      <c r="AH41" s="100"/>
    </row>
    <row r="42" spans="3:34" ht="13.8">
      <c r="C42" s="84"/>
      <c r="D42" s="85"/>
      <c r="E42" s="86"/>
      <c r="F42" s="89"/>
      <c r="G42" s="105"/>
      <c r="H42" s="105"/>
      <c r="I42" s="90"/>
      <c r="J42" s="88"/>
      <c r="K42" s="105"/>
      <c r="L42" s="111"/>
      <c r="M42" s="141"/>
      <c r="N42" s="141"/>
      <c r="O42" s="141"/>
      <c r="P42" s="141"/>
      <c r="Q42" s="141"/>
      <c r="R42" s="159"/>
      <c r="S42" s="159"/>
      <c r="T42" s="159"/>
      <c r="U42" s="159"/>
      <c r="V42" s="160"/>
      <c r="W42" s="95"/>
      <c r="X42" s="95"/>
      <c r="Y42" s="97"/>
      <c r="Z42" s="97"/>
      <c r="AA42" s="98"/>
      <c r="AB42" s="99"/>
      <c r="AC42" s="99"/>
      <c r="AD42" s="99"/>
      <c r="AE42" s="99"/>
      <c r="AF42" s="99"/>
      <c r="AG42" s="99"/>
      <c r="AH42" s="100"/>
    </row>
    <row r="43" spans="3:34" ht="13.8">
      <c r="C43" s="84"/>
      <c r="D43" s="85"/>
      <c r="E43" s="86"/>
      <c r="F43" s="89"/>
      <c r="G43" s="105"/>
      <c r="H43" s="105"/>
      <c r="I43" s="90"/>
      <c r="J43" s="88"/>
      <c r="K43" s="105"/>
      <c r="L43" s="111"/>
      <c r="M43" s="141"/>
      <c r="N43" s="141"/>
      <c r="O43" s="141"/>
      <c r="P43" s="141"/>
      <c r="Q43" s="141"/>
      <c r="R43" s="159"/>
      <c r="S43" s="159"/>
      <c r="T43" s="159"/>
      <c r="U43" s="159"/>
      <c r="V43" s="160"/>
      <c r="W43" s="95"/>
      <c r="X43" s="95"/>
      <c r="Y43" s="97"/>
      <c r="Z43" s="97"/>
      <c r="AA43" s="98"/>
      <c r="AB43" s="99"/>
      <c r="AC43" s="99"/>
      <c r="AD43" s="99"/>
      <c r="AE43" s="99"/>
      <c r="AF43" s="99"/>
      <c r="AG43" s="99"/>
      <c r="AH43" s="100"/>
    </row>
    <row r="44" spans="5:34" ht="12.8">
      <c r="E44" s="161"/>
      <c r="F44" s="162"/>
      <c r="G44" s="162"/>
      <c r="H44" s="162"/>
      <c r="I44" s="163" t="s">
        <v>308</v>
      </c>
      <c r="J44" s="164">
        <f>SUM(J4:J37)</f>
        <v>16496</v>
      </c>
      <c r="K44" s="162"/>
      <c r="L44" s="162"/>
      <c r="M44" s="165"/>
      <c r="N44" s="165"/>
      <c r="O44" s="165"/>
      <c r="P44" s="165"/>
      <c r="Q44" s="165"/>
      <c r="R44" s="162"/>
      <c r="S44" s="162"/>
      <c r="T44" s="162"/>
      <c r="U44" s="162"/>
      <c r="V44" s="166"/>
      <c r="W44" s="167"/>
      <c r="X44" s="167"/>
      <c r="Y44" s="168" t="s">
        <v>309</v>
      </c>
      <c r="Z44" s="169">
        <f>SUM(Z4:Z37)</f>
        <v>1887856.4</v>
      </c>
      <c r="AA44" s="170">
        <f>SUM(AA4:AA37)</f>
        <v>175192.405</v>
      </c>
      <c r="AB44" s="169">
        <f>SUM(AB4:AB37)</f>
        <v>402302.075</v>
      </c>
      <c r="AC44" s="169"/>
      <c r="AD44" s="171"/>
      <c r="AE44" s="171"/>
      <c r="AF44" s="171"/>
      <c r="AG44" s="171"/>
      <c r="AH44" s="102"/>
    </row>
    <row r="45" spans="5:24" ht="22.5" customHeight="1">
      <c r="E45" t="s">
        <v>310</v>
      </c>
      <c r="F45" s="3"/>
      <c r="G45" s="172"/>
      <c r="H45" s="173"/>
      <c r="I45" s="173"/>
      <c r="J45" s="173"/>
      <c r="K45" s="173"/>
      <c r="L45" s="174"/>
      <c r="W45" s="174"/>
      <c r="X45" s="174"/>
    </row>
    <row r="46" spans="5:7" ht="13.8">
      <c r="E46" t="s">
        <v>311</v>
      </c>
      <c r="G46" s="60"/>
    </row>
    <row r="47" spans="5:7" ht="13.8">
      <c r="E47" t="s">
        <v>312</v>
      </c>
      <c r="G47" s="60"/>
    </row>
    <row r="48" ht="13.8">
      <c r="G48" s="19"/>
    </row>
    <row r="49" spans="2:7" ht="13.8">
      <c r="B49" s="17"/>
      <c r="E49" t="s">
        <v>313</v>
      </c>
      <c r="G49" s="19"/>
    </row>
    <row r="50" spans="5:7" ht="13.8">
      <c r="E50" t="s">
        <v>314</v>
      </c>
      <c r="G50" s="19"/>
    </row>
    <row r="51" ht="13.8">
      <c r="G51" s="19"/>
    </row>
    <row r="52" spans="3:34" s="175" customFormat="1" ht="77.55">
      <c r="C52" s="176"/>
      <c r="E52" s="177" t="s">
        <v>271</v>
      </c>
      <c r="F52" s="177" t="s">
        <v>175</v>
      </c>
      <c r="G52" s="178">
        <v>1989</v>
      </c>
      <c r="H52" s="179" t="s">
        <v>58</v>
      </c>
      <c r="I52" s="180">
        <v>24</v>
      </c>
      <c r="J52" s="178"/>
      <c r="K52" s="179"/>
      <c r="L52" s="181" t="s">
        <v>315</v>
      </c>
      <c r="M52" s="178" t="s">
        <v>316</v>
      </c>
      <c r="N52" s="178"/>
      <c r="O52" s="178"/>
      <c r="P52" s="178"/>
      <c r="Q52" s="178"/>
      <c r="R52" s="178"/>
      <c r="S52" s="178"/>
      <c r="T52" s="178"/>
      <c r="U52" s="178"/>
      <c r="V52" s="178"/>
      <c r="W52" s="182" t="s">
        <v>59</v>
      </c>
      <c r="X52" s="182"/>
      <c r="Y52" s="183"/>
      <c r="AB52" s="176"/>
      <c r="AC52" s="176"/>
      <c r="AD52" s="176"/>
      <c r="AE52" s="176"/>
      <c r="AF52" s="176"/>
      <c r="AG52" s="176"/>
      <c r="AH52" s="184"/>
    </row>
    <row r="53" ht="13.8">
      <c r="G53" s="19"/>
    </row>
    <row r="54" spans="5:33" ht="44.8">
      <c r="E54" s="185" t="s">
        <v>317</v>
      </c>
      <c r="F54" s="185" t="s">
        <v>201</v>
      </c>
      <c r="G54" s="178">
        <v>1981</v>
      </c>
      <c r="H54" s="179" t="s">
        <v>55</v>
      </c>
      <c r="I54" s="180">
        <v>94.2</v>
      </c>
      <c r="J54" s="178">
        <v>1618</v>
      </c>
      <c r="K54" s="186" t="s">
        <v>318</v>
      </c>
      <c r="L54" s="181" t="s">
        <v>241</v>
      </c>
      <c r="M54" s="187">
        <v>308026</v>
      </c>
      <c r="N54" s="187">
        <v>265063</v>
      </c>
      <c r="O54" s="187">
        <v>216687</v>
      </c>
      <c r="P54" s="187">
        <v>272269</v>
      </c>
      <c r="Q54" s="187">
        <v>220548</v>
      </c>
      <c r="R54" s="188">
        <v>13770.8</v>
      </c>
      <c r="S54" s="188">
        <v>13571.55</v>
      </c>
      <c r="T54" s="188">
        <v>9923.32</v>
      </c>
      <c r="U54" s="188">
        <v>14211.16</v>
      </c>
      <c r="V54" s="188">
        <v>10265.67</v>
      </c>
      <c r="W54" s="95" t="s">
        <v>56</v>
      </c>
      <c r="X54" s="95"/>
      <c r="Y54" s="189"/>
      <c r="Z54" s="189"/>
      <c r="AA54" s="190"/>
      <c r="AD54" s="191"/>
      <c r="AE54" s="191"/>
      <c r="AF54" s="191"/>
      <c r="AG54" s="191"/>
    </row>
    <row r="55" spans="5:33" ht="44.8">
      <c r="E55" s="185" t="s">
        <v>319</v>
      </c>
      <c r="F55" s="185" t="s">
        <v>201</v>
      </c>
      <c r="G55" s="178">
        <v>1993</v>
      </c>
      <c r="H55" s="179" t="s">
        <v>55</v>
      </c>
      <c r="I55" s="180">
        <v>230</v>
      </c>
      <c r="J55" s="178"/>
      <c r="K55" s="192" t="s">
        <v>320</v>
      </c>
      <c r="L55" s="181" t="s">
        <v>217</v>
      </c>
      <c r="M55" s="187"/>
      <c r="N55" s="187"/>
      <c r="O55" s="187"/>
      <c r="P55" s="187"/>
      <c r="Q55" s="187"/>
      <c r="R55" s="177"/>
      <c r="S55" s="177"/>
      <c r="T55" s="177"/>
      <c r="U55" s="177"/>
      <c r="V55" s="177"/>
      <c r="W55" s="95" t="s">
        <v>56</v>
      </c>
      <c r="X55" s="95"/>
      <c r="Y55" s="189"/>
      <c r="Z55" s="189"/>
      <c r="AA55" s="190"/>
      <c r="AD55" s="191"/>
      <c r="AE55" s="191"/>
      <c r="AF55" s="191"/>
      <c r="AG55" s="191"/>
    </row>
    <row r="56" ht="13.8">
      <c r="G56" s="19"/>
    </row>
    <row r="57" spans="5:33" ht="33.9">
      <c r="E57" s="193" t="s">
        <v>321</v>
      </c>
      <c r="F57" s="185" t="s">
        <v>201</v>
      </c>
      <c r="G57" s="194">
        <v>2000</v>
      </c>
      <c r="H57" s="195" t="s">
        <v>55</v>
      </c>
      <c r="I57" s="196">
        <v>170</v>
      </c>
      <c r="J57" s="194">
        <v>2413</v>
      </c>
      <c r="K57" s="195"/>
      <c r="L57" s="197"/>
      <c r="M57" s="187">
        <v>307478</v>
      </c>
      <c r="N57" s="187">
        <v>305329</v>
      </c>
      <c r="O57" s="187">
        <v>316677</v>
      </c>
      <c r="P57" s="187">
        <v>330862</v>
      </c>
      <c r="Q57" s="187">
        <v>253583</v>
      </c>
      <c r="R57" s="188">
        <v>13848.71</v>
      </c>
      <c r="S57" s="188">
        <v>15580.73</v>
      </c>
      <c r="T57" s="188">
        <v>14343.63</v>
      </c>
      <c r="U57" s="188">
        <v>17195.46</v>
      </c>
      <c r="V57" s="188">
        <v>11613.54</v>
      </c>
      <c r="W57" s="95" t="s">
        <v>56</v>
      </c>
      <c r="X57" s="95"/>
      <c r="Y57" s="198">
        <f>(M57+2*N57+3*O57+4*P57+5*Q57)/15</f>
        <v>297302</v>
      </c>
      <c r="Z57" s="189">
        <f>Y57*VLOOKUP(W57,'Parameter+Grundlagen'!$B$6:$H$10,2,0)</f>
        <v>297302</v>
      </c>
      <c r="AA57" s="190">
        <f>Z57*VLOOKUP(W57,'Parameter+Grundlagen'!$B$6:$H$10,5,0)</f>
        <v>26757.18</v>
      </c>
      <c r="AD57" s="191">
        <f>Z57/J57</f>
        <v>123.208454206382</v>
      </c>
      <c r="AE57" s="191"/>
      <c r="AF57" s="191"/>
      <c r="AG57" s="191"/>
    </row>
    <row r="58" spans="2:33" ht="33.9">
      <c r="B58" s="11"/>
      <c r="E58" s="199" t="s">
        <v>322</v>
      </c>
      <c r="F58" s="185" t="s">
        <v>201</v>
      </c>
      <c r="G58" s="200">
        <v>2000</v>
      </c>
      <c r="H58" s="201" t="s">
        <v>55</v>
      </c>
      <c r="I58" s="202">
        <v>170</v>
      </c>
      <c r="J58" s="200" t="s">
        <v>217</v>
      </c>
      <c r="K58" s="201"/>
      <c r="L58" s="203" t="s">
        <v>323</v>
      </c>
      <c r="M58" s="187" t="s">
        <v>324</v>
      </c>
      <c r="N58" s="187" t="s">
        <v>324</v>
      </c>
      <c r="O58" s="187" t="s">
        <v>324</v>
      </c>
      <c r="P58" s="187" t="s">
        <v>324</v>
      </c>
      <c r="Q58" s="187" t="s">
        <v>324</v>
      </c>
      <c r="R58" s="187" t="s">
        <v>324</v>
      </c>
      <c r="S58" s="187" t="s">
        <v>324</v>
      </c>
      <c r="T58" s="187" t="s">
        <v>324</v>
      </c>
      <c r="U58" s="187" t="s">
        <v>324</v>
      </c>
      <c r="V58" s="187" t="s">
        <v>324</v>
      </c>
      <c r="W58" s="95" t="s">
        <v>56</v>
      </c>
      <c r="X58" s="95"/>
      <c r="Z58" s="189"/>
      <c r="AA58" s="190"/>
      <c r="AD58" s="191"/>
      <c r="AE58" s="191"/>
      <c r="AF58" s="191"/>
      <c r="AG58" s="191"/>
    </row>
    <row r="60" ht="13.8">
      <c r="B60" s="11"/>
    </row>
  </sheetData>
  <mergeCells count="3">
    <mergeCell ref="H2:I2"/>
    <mergeCell ref="J2:K2"/>
    <mergeCell ref="M52:V52"/>
  </mergeCells>
  <conditionalFormatting sqref="AE4:AE43 AG4:AG43">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dataValidations count="1">
    <dataValidation type="list" operator="equal" sqref="W4:W41 W42:X43 W52:X52 W54:X55 W57:X58">
      <formula1>"Liter (Öl),Liter (Fl.gas),kWh (Gas),kWh (Strom),kg (Pellets)"</formula1>
    </dataValidation>
  </dataValidations>
  <printOptions/>
  <pageMargins left="0.275694444444444" right="0.275694444444444" top="0.275694444444444" bottom="0.275694444444444" header="0.511805555555555" footer="0.511805555555555"/>
  <pageSetup fitToHeight="1" fitToWidth="1" horizontalDpi="300" verticalDpi="300" orientation="landscape" paperSize="9" copies="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00"/>
  <sheetViews>
    <sheetView zoomScale="85" zoomScaleNormal="85" workbookViewId="0" topLeftCell="A1">
      <selection activeCell="L71" sqref="L71"/>
    </sheetView>
  </sheetViews>
  <sheetFormatPr defaultColWidth="11.7109375" defaultRowHeight="12.75"/>
  <cols>
    <col min="1" max="16" width="5.57421875" style="0" customWidth="1"/>
    <col min="17" max="17" width="5.7109375" style="0" customWidth="1"/>
    <col min="18" max="18" width="0.9921875" style="0" customWidth="1"/>
    <col min="34" max="34" width="29.28125" style="0" customWidth="1"/>
  </cols>
  <sheetData>
    <row r="1" spans="1:18" ht="18">
      <c r="A1" s="204" t="s">
        <v>325</v>
      </c>
      <c r="B1" s="2"/>
      <c r="C1" s="2"/>
      <c r="D1" s="2"/>
      <c r="E1" s="3"/>
      <c r="F1" s="2"/>
      <c r="G1" s="3"/>
      <c r="H1" s="2"/>
      <c r="I1" s="2"/>
      <c r="J1" s="2"/>
      <c r="K1" s="2"/>
      <c r="L1" s="2"/>
      <c r="M1" s="2"/>
      <c r="N1" s="2"/>
      <c r="O1" s="2"/>
      <c r="P1" s="2"/>
      <c r="Q1" s="2"/>
      <c r="R1" s="2"/>
    </row>
    <row r="2" spans="2:18" ht="23.25">
      <c r="B2" s="22"/>
      <c r="C2" s="2"/>
      <c r="D2" s="2"/>
      <c r="E2" s="3"/>
      <c r="F2" s="2"/>
      <c r="G2" s="3"/>
      <c r="H2" s="2"/>
      <c r="I2" s="2"/>
      <c r="J2" s="2"/>
      <c r="K2" s="2"/>
      <c r="L2" s="2"/>
      <c r="M2" s="2"/>
      <c r="N2" s="2"/>
      <c r="O2" s="2"/>
      <c r="P2" s="2"/>
      <c r="Q2" s="2"/>
      <c r="R2" s="2"/>
    </row>
    <row r="3" spans="1:18" ht="12.75">
      <c r="A3" s="20"/>
      <c r="R3" s="2"/>
    </row>
    <row r="4" spans="2:18" ht="12.75">
      <c r="B4" s="5" t="s">
        <v>326</v>
      </c>
      <c r="R4" s="2"/>
    </row>
    <row r="5" ht="12.75">
      <c r="R5" s="2"/>
    </row>
    <row r="6" spans="18:28" ht="18">
      <c r="R6" s="2"/>
      <c r="V6" s="205"/>
      <c r="W6" s="62"/>
      <c r="X6" s="62"/>
      <c r="AA6" s="206"/>
      <c r="AB6" s="62"/>
    </row>
    <row r="7" spans="18:22" ht="18">
      <c r="R7" s="2"/>
      <c r="V7" s="62" t="str">
        <f>CONCATENATE("CO2-Emissionen gesamt pro Jahr: ",INT(Liegenschaften!AB44)," kg")</f>
        <v>CO2-Emissionen gesamt pro Jahr: 402302 kg</v>
      </c>
    </row>
    <row r="8" spans="18:22" ht="18">
      <c r="R8" s="2"/>
      <c r="V8" s="207" t="s">
        <v>327</v>
      </c>
    </row>
    <row r="9" ht="12.75">
      <c r="R9" s="2"/>
    </row>
    <row r="10" spans="18:22" ht="12.75">
      <c r="R10" s="2"/>
      <c r="V10" s="20" t="s">
        <v>328</v>
      </c>
    </row>
    <row r="11" ht="12.75">
      <c r="V11" s="59" t="s">
        <v>329</v>
      </c>
    </row>
    <row r="12" ht="12.75">
      <c r="V12" s="59" t="s">
        <v>330</v>
      </c>
    </row>
    <row r="13" ht="12.75">
      <c r="V13" s="59" t="s">
        <v>331</v>
      </c>
    </row>
    <row r="14" ht="12.75">
      <c r="AH14" s="13"/>
    </row>
    <row r="15" ht="12.75">
      <c r="A15" s="20"/>
    </row>
    <row r="17" ht="12.75">
      <c r="AH17" s="13"/>
    </row>
    <row r="31" ht="18">
      <c r="V31" s="62" t="str">
        <f>CONCATENATE("Verbrauchskosten gesamt pro Jahr: ",INT(Liegenschaften!AA44)," €")</f>
        <v>Verbrauchskosten gesamt pro Jahr: 175192 €</v>
      </c>
    </row>
    <row r="32" ht="18">
      <c r="V32" s="207" t="s">
        <v>327</v>
      </c>
    </row>
    <row r="34" spans="1:22" ht="12.75">
      <c r="A34" s="20"/>
      <c r="V34" s="20" t="s">
        <v>328</v>
      </c>
    </row>
    <row r="35" ht="12.75">
      <c r="V35" s="59" t="s">
        <v>329</v>
      </c>
    </row>
    <row r="36" ht="12.75">
      <c r="V36" s="59" t="s">
        <v>330</v>
      </c>
    </row>
    <row r="37" ht="12.75">
      <c r="V37" s="59" t="s">
        <v>331</v>
      </c>
    </row>
    <row r="49" ht="12.75">
      <c r="B49" s="17"/>
    </row>
    <row r="58" ht="12.75">
      <c r="B58" s="11"/>
    </row>
    <row r="59" ht="18">
      <c r="V59" s="62" t="s">
        <v>332</v>
      </c>
    </row>
    <row r="60" spans="2:22" ht="18">
      <c r="B60" s="11"/>
      <c r="V60" s="207" t="s">
        <v>333</v>
      </c>
    </row>
    <row r="61" ht="18">
      <c r="V61" s="208" t="s">
        <v>334</v>
      </c>
    </row>
    <row r="63" ht="12.75">
      <c r="V63" s="20" t="s">
        <v>335</v>
      </c>
    </row>
    <row r="64" ht="12.75">
      <c r="V64" s="59" t="s">
        <v>286</v>
      </c>
    </row>
    <row r="65" ht="12.75">
      <c r="V65" s="59" t="s">
        <v>336</v>
      </c>
    </row>
    <row r="66" ht="12.75">
      <c r="V66" s="59" t="s">
        <v>256</v>
      </c>
    </row>
    <row r="67" ht="12.75">
      <c r="V67" s="59" t="s">
        <v>337</v>
      </c>
    </row>
    <row r="98" ht="18">
      <c r="Z98" s="62" t="s">
        <v>338</v>
      </c>
    </row>
    <row r="100" ht="12.75">
      <c r="Z100" s="11"/>
    </row>
  </sheetData>
  <printOptions/>
  <pageMargins left="0.275694444444444" right="0.275694444444444" top="0.275694444444444" bottom="0.275694444444444" header="0.511805555555555" footer="0.511805555555555"/>
  <pageSetup firstPageNumber="1" useFirstPageNumber="1" fitToHeight="0" fitToWidth="1" horizontalDpi="300" verticalDpi="300" orientation="landscape" paperSize="9"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AH61"/>
  <sheetViews>
    <sheetView zoomScale="85" zoomScaleNormal="85" workbookViewId="0" topLeftCell="A1">
      <selection activeCell="D21" sqref="D21"/>
    </sheetView>
  </sheetViews>
  <sheetFormatPr defaultColWidth="11.57421875" defaultRowHeight="12.75"/>
  <cols>
    <col min="1" max="33" width="11.57421875" style="16" customWidth="1"/>
    <col min="34" max="34" width="29.28125" style="16" customWidth="1"/>
    <col min="35" max="1024" width="11.57421875" style="16" customWidth="1"/>
  </cols>
  <sheetData>
    <row r="2" ht="22.05">
      <c r="B2" s="209" t="s">
        <v>339</v>
      </c>
    </row>
    <row r="4" ht="19.7">
      <c r="B4" s="14" t="s">
        <v>340</v>
      </c>
    </row>
    <row r="5" ht="15">
      <c r="B5" t="s">
        <v>341</v>
      </c>
    </row>
    <row r="6" ht="15">
      <c r="B6" t="s">
        <v>342</v>
      </c>
    </row>
    <row r="7" ht="15">
      <c r="B7" t="s">
        <v>343</v>
      </c>
    </row>
    <row r="8" ht="15"/>
    <row r="9" ht="15">
      <c r="B9" s="47" t="s">
        <v>344</v>
      </c>
    </row>
    <row r="10" ht="15">
      <c r="B10" s="16" t="s">
        <v>345</v>
      </c>
    </row>
    <row r="11" ht="15">
      <c r="B11" s="16" t="s">
        <v>346</v>
      </c>
    </row>
    <row r="12" ht="15">
      <c r="B12" s="16" t="s">
        <v>347</v>
      </c>
    </row>
    <row r="13" ht="15"/>
    <row r="14" ht="15"/>
    <row r="15" s="10" customFormat="1" ht="19.7">
      <c r="B15" s="14" t="s">
        <v>348</v>
      </c>
    </row>
    <row r="16" ht="15"/>
    <row r="17" spans="2:22" ht="19.7">
      <c r="B17" s="210"/>
      <c r="C17" s="211"/>
      <c r="D17" s="32"/>
      <c r="E17" s="32"/>
      <c r="F17" s="32"/>
      <c r="G17" s="212" t="s">
        <v>349</v>
      </c>
      <c r="H17" s="27"/>
      <c r="I17" s="213" t="s">
        <v>350</v>
      </c>
      <c r="J17" s="32"/>
      <c r="K17" s="32"/>
      <c r="L17" s="214" t="s">
        <v>351</v>
      </c>
      <c r="M17" s="32"/>
      <c r="N17" s="32"/>
      <c r="O17" s="32"/>
      <c r="P17" s="212" t="s">
        <v>44</v>
      </c>
      <c r="Q17" s="32"/>
      <c r="R17" s="215" t="s">
        <v>352</v>
      </c>
      <c r="S17" s="32"/>
      <c r="T17" s="32"/>
      <c r="U17" s="32"/>
      <c r="V17" s="27"/>
    </row>
    <row r="18" spans="2:22" ht="19.7">
      <c r="B18" s="216" t="s">
        <v>329</v>
      </c>
      <c r="C18" s="211"/>
      <c r="D18" s="32"/>
      <c r="E18" s="32"/>
      <c r="F18" s="211"/>
      <c r="G18" s="217" t="s">
        <v>353</v>
      </c>
      <c r="H18" s="27"/>
      <c r="I18" s="218" t="s">
        <v>353</v>
      </c>
      <c r="J18" s="32"/>
      <c r="K18" s="32"/>
      <c r="L18" s="219"/>
      <c r="M18" s="32"/>
      <c r="N18" s="32"/>
      <c r="O18" s="32"/>
      <c r="P18" s="220"/>
      <c r="Q18" s="32"/>
      <c r="R18" s="32"/>
      <c r="S18" s="32"/>
      <c r="T18" s="32"/>
      <c r="U18" s="32"/>
      <c r="V18" s="27"/>
    </row>
    <row r="19" spans="2:34" ht="19.7">
      <c r="B19" s="216" t="s">
        <v>330</v>
      </c>
      <c r="C19" s="211"/>
      <c r="D19" s="32"/>
      <c r="E19" s="32"/>
      <c r="F19" s="211"/>
      <c r="G19" s="217" t="s">
        <v>353</v>
      </c>
      <c r="H19" s="27"/>
      <c r="I19" s="218" t="s">
        <v>353</v>
      </c>
      <c r="J19" s="32"/>
      <c r="K19" s="32"/>
      <c r="L19" s="210"/>
      <c r="M19" s="32"/>
      <c r="N19" s="32"/>
      <c r="O19" s="32"/>
      <c r="P19" s="221"/>
      <c r="Q19" s="32"/>
      <c r="R19" s="32"/>
      <c r="S19" s="32"/>
      <c r="T19" s="32"/>
      <c r="U19" s="32"/>
      <c r="V19" s="27"/>
      <c r="AH19" s="37"/>
    </row>
    <row r="20" spans="2:22" ht="19.7">
      <c r="B20" s="216" t="s">
        <v>331</v>
      </c>
      <c r="C20" s="211"/>
      <c r="D20" s="32"/>
      <c r="E20" s="32"/>
      <c r="F20" s="211"/>
      <c r="G20" s="217" t="s">
        <v>353</v>
      </c>
      <c r="H20" s="27"/>
      <c r="I20" s="218" t="s">
        <v>353</v>
      </c>
      <c r="J20" s="32"/>
      <c r="K20" s="32"/>
      <c r="L20" s="217" t="s">
        <v>353</v>
      </c>
      <c r="M20" s="32"/>
      <c r="N20" s="32"/>
      <c r="O20" s="32"/>
      <c r="P20" s="212" t="s">
        <v>354</v>
      </c>
      <c r="Q20" s="32"/>
      <c r="R20" s="32"/>
      <c r="S20" s="32"/>
      <c r="T20" s="32"/>
      <c r="U20" s="32"/>
      <c r="V20" s="27"/>
    </row>
    <row r="21" spans="2:22" ht="19.7">
      <c r="B21" s="216" t="s">
        <v>286</v>
      </c>
      <c r="C21" s="211"/>
      <c r="D21" s="32"/>
      <c r="E21" s="32"/>
      <c r="F21" s="211"/>
      <c r="G21" s="210"/>
      <c r="H21" s="27"/>
      <c r="I21" s="32"/>
      <c r="J21" s="32"/>
      <c r="K21" s="32"/>
      <c r="L21" s="217" t="s">
        <v>353</v>
      </c>
      <c r="M21" s="32"/>
      <c r="N21" s="32"/>
      <c r="O21" s="32"/>
      <c r="P21" s="212" t="s">
        <v>355</v>
      </c>
      <c r="Q21" s="32"/>
      <c r="R21" s="32"/>
      <c r="S21" s="32"/>
      <c r="T21" s="32"/>
      <c r="U21" s="32"/>
      <c r="V21" s="27"/>
    </row>
    <row r="22" spans="2:22" ht="19.7">
      <c r="B22" s="216" t="s">
        <v>336</v>
      </c>
      <c r="C22" s="211"/>
      <c r="D22" s="32"/>
      <c r="E22" s="32"/>
      <c r="F22" s="211"/>
      <c r="G22" s="210"/>
      <c r="H22" s="27"/>
      <c r="I22" s="32"/>
      <c r="J22" s="32"/>
      <c r="K22" s="32"/>
      <c r="L22" s="217" t="s">
        <v>353</v>
      </c>
      <c r="M22" s="32"/>
      <c r="N22" s="32"/>
      <c r="O22" s="32"/>
      <c r="P22" s="212" t="s">
        <v>356</v>
      </c>
      <c r="Q22" s="32"/>
      <c r="R22" s="32"/>
      <c r="S22" s="32"/>
      <c r="T22" s="32"/>
      <c r="U22" s="32"/>
      <c r="V22" s="27"/>
    </row>
    <row r="23" spans="2:22" ht="19.7">
      <c r="B23" s="216" t="s">
        <v>256</v>
      </c>
      <c r="C23" s="211"/>
      <c r="D23" s="32"/>
      <c r="E23" s="32"/>
      <c r="F23" s="211"/>
      <c r="G23" s="210"/>
      <c r="H23" s="27"/>
      <c r="I23" s="32"/>
      <c r="J23" s="32"/>
      <c r="K23" s="32"/>
      <c r="L23" s="217" t="s">
        <v>353</v>
      </c>
      <c r="M23" s="32"/>
      <c r="N23" s="32"/>
      <c r="O23" s="32"/>
      <c r="P23" s="212" t="s">
        <v>357</v>
      </c>
      <c r="Q23" s="32"/>
      <c r="R23" s="32"/>
      <c r="S23" s="32"/>
      <c r="T23" s="32"/>
      <c r="U23" s="32"/>
      <c r="V23" s="27"/>
    </row>
    <row r="24" spans="2:12" ht="15">
      <c r="B24" s="59"/>
      <c r="L24" s="59"/>
    </row>
    <row r="26" spans="2:3" ht="19.7">
      <c r="B26" s="14" t="s">
        <v>358</v>
      </c>
      <c r="C26" s="10"/>
    </row>
    <row r="27" ht="15">
      <c r="B27" s="47" t="s">
        <v>359</v>
      </c>
    </row>
    <row r="28" ht="15">
      <c r="B28" s="47" t="s">
        <v>360</v>
      </c>
    </row>
    <row r="29" ht="15">
      <c r="B29" s="16" t="s">
        <v>361</v>
      </c>
    </row>
    <row r="30" ht="15">
      <c r="B30" s="16" t="s">
        <v>362</v>
      </c>
    </row>
    <row r="31" ht="15">
      <c r="B31" s="16" t="s">
        <v>363</v>
      </c>
    </row>
    <row r="32" ht="15">
      <c r="B32" s="47" t="s">
        <v>364</v>
      </c>
    </row>
    <row r="33" ht="15"/>
    <row r="34" ht="15"/>
    <row r="35" ht="19.7">
      <c r="B35" s="14" t="s">
        <v>365</v>
      </c>
    </row>
    <row r="36" ht="15">
      <c r="B36" s="47" t="s">
        <v>366</v>
      </c>
    </row>
    <row r="37" ht="15">
      <c r="B37" s="16" t="s">
        <v>367</v>
      </c>
    </row>
    <row r="38" spans="2:3" ht="19.7">
      <c r="B38" s="14"/>
      <c r="C38" s="10"/>
    </row>
    <row r="39" spans="2:3" s="10" customFormat="1" ht="19.7">
      <c r="B39" s="14" t="s">
        <v>368</v>
      </c>
      <c r="C39" s="16"/>
    </row>
    <row r="40" ht="15">
      <c r="B40" s="47" t="s">
        <v>369</v>
      </c>
    </row>
    <row r="41" ht="15">
      <c r="B41" s="16" t="s">
        <v>370</v>
      </c>
    </row>
    <row r="42" ht="15"/>
    <row r="43" ht="19.7">
      <c r="B43" s="14" t="s">
        <v>371</v>
      </c>
    </row>
    <row r="44" ht="15">
      <c r="B44" s="16" t="s">
        <v>372</v>
      </c>
    </row>
    <row r="45" ht="15">
      <c r="B45" t="s">
        <v>373</v>
      </c>
    </row>
    <row r="46" ht="15">
      <c r="B46" t="s">
        <v>374</v>
      </c>
    </row>
    <row r="47" ht="15"/>
    <row r="48" ht="15"/>
    <row r="50" ht="15"/>
    <row r="53" spans="2:3" ht="19.7">
      <c r="B53" s="222"/>
      <c r="C53" s="10"/>
    </row>
    <row r="58" ht="15">
      <c r="B58" s="54"/>
    </row>
    <row r="61" ht="15">
      <c r="B61" s="47"/>
    </row>
    <row r="63" ht="15"/>
    <row r="64" ht="15"/>
    <row r="1048561" ht="12.8"/>
    <row r="1048562" ht="12.8"/>
    <row r="1048563" ht="12.8"/>
    <row r="1048564" ht="12.8"/>
    <row r="1048565" ht="12.8"/>
    <row r="1048566" ht="12.8"/>
    <row r="1048567" ht="12.8"/>
    <row r="1048568" ht="12.8"/>
    <row r="1048569" ht="12.8"/>
    <row r="1048570" ht="12.8"/>
    <row r="1048571" ht="12.8"/>
    <row r="1048572" ht="12.8"/>
    <row r="1048573" ht="12.8"/>
    <row r="1048574" ht="12.8"/>
    <row r="1048575" ht="12.8"/>
    <row r="1048576" ht="12.8"/>
  </sheetData>
  <printOptions/>
  <pageMargins left="0.275694444444444" right="0.275694444444444" top="0.275694444444444" bottom="0.275694444444444" header="0.511805555555555" footer="0.511805555555555"/>
  <pageSetup firstPageNumber="1" useFirstPageNumber="1" fitToHeight="1" fitToWidth="1" horizontalDpi="300" verticalDpi="300" orientation="landscape" paperSize="9" copies="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31"/>
  <sheetViews>
    <sheetView zoomScale="85" zoomScaleNormal="85" workbookViewId="0" topLeftCell="A1">
      <selection activeCell="I4" sqref="I4"/>
    </sheetView>
  </sheetViews>
  <sheetFormatPr defaultColWidth="10.7109375" defaultRowHeight="12.75"/>
  <cols>
    <col min="1" max="1" width="2.8515625" style="0" customWidth="1"/>
    <col min="2" max="2" width="32.8515625" style="0" customWidth="1"/>
    <col min="3" max="3" width="19.421875" style="0" customWidth="1"/>
    <col min="4" max="4" width="9.57421875" style="0" customWidth="1"/>
    <col min="5" max="5" width="11.00390625" style="0" customWidth="1"/>
    <col min="6" max="6" width="9.28125" style="0" customWidth="1"/>
    <col min="7" max="7" width="9.140625" style="0" customWidth="1"/>
    <col min="8" max="8" width="8.7109375" style="0" customWidth="1"/>
    <col min="9" max="10" width="9.7109375" style="0" customWidth="1"/>
    <col min="11" max="11" width="5.7109375" style="0" customWidth="1"/>
    <col min="12" max="12" width="10.57421875" style="60" customWidth="1"/>
    <col min="1007" max="1024" width="11.57421875" style="0" customWidth="1"/>
  </cols>
  <sheetData>
    <row r="1" spans="2:6" ht="12.75">
      <c r="B1" s="20" t="s">
        <v>375</v>
      </c>
      <c r="F1" s="59" t="s">
        <v>376</v>
      </c>
    </row>
    <row r="2" spans="2:4" ht="18.75">
      <c r="B2" s="20" t="s">
        <v>377</v>
      </c>
      <c r="C2" s="65"/>
      <c r="D2" s="66"/>
    </row>
    <row r="3" spans="2:14" s="83" customFormat="1" ht="60">
      <c r="B3" s="223" t="s">
        <v>378</v>
      </c>
      <c r="C3" s="224" t="s">
        <v>379</v>
      </c>
      <c r="D3" s="225" t="s">
        <v>146</v>
      </c>
      <c r="E3" s="226" t="s">
        <v>161</v>
      </c>
      <c r="F3" s="226" t="s">
        <v>164</v>
      </c>
      <c r="G3" s="226" t="s">
        <v>380</v>
      </c>
      <c r="H3" s="226" t="s">
        <v>166</v>
      </c>
      <c r="I3" s="226" t="s">
        <v>381</v>
      </c>
      <c r="J3" s="226" t="s">
        <v>168</v>
      </c>
      <c r="K3" s="226" t="s">
        <v>169</v>
      </c>
      <c r="L3" s="226" t="s">
        <v>170</v>
      </c>
      <c r="M3" s="227" t="s">
        <v>171</v>
      </c>
      <c r="N3" s="13"/>
    </row>
    <row r="4" spans="1:13" ht="12.75">
      <c r="A4">
        <v>1</v>
      </c>
      <c r="B4" s="228" t="str">
        <f>VLOOKUP(A4,Liegenschaften!$A$4:$AG$43,4,0)</f>
        <v>Stadtverwaltung  m. Feuerwehr (Br)</v>
      </c>
      <c r="C4" s="60">
        <f>VLOOKUP(B4,Liegenschaften!$D$4:$AI$43,4,0)</f>
        <v>2000</v>
      </c>
      <c r="D4" s="60" t="str">
        <f>VLOOKUP(B4,Liegenschaften!$D$4:$AI$43,5,0)</f>
        <v>Erdgas</v>
      </c>
      <c r="E4" s="60" t="str">
        <f>VLOOKUP(B4,Liegenschaften!$D$4:$AI$43,20,0)</f>
        <v>kWh (Gas)</v>
      </c>
      <c r="F4" s="229">
        <f>VLOOKUP(B4,Liegenschaften!$D$4:$AI$43,23,0)</f>
        <v>302785.8</v>
      </c>
      <c r="G4" s="230">
        <f>VLOOKUP(B4,Liegenschaften!$D$4:$AI$43,24,0)</f>
        <v>27250.722</v>
      </c>
      <c r="H4" s="229">
        <f>VLOOKUP(B4,Liegenschaften!$D$4:$AI$43,25,0)</f>
        <v>60557.16</v>
      </c>
      <c r="I4" s="229">
        <f>VLOOKUP(B4,Liegenschaften!$D$4:$AI$43,26,0)</f>
        <v>890.546470588235</v>
      </c>
      <c r="J4" s="229">
        <f>VLOOKUP(B4,Liegenschaften!$D$4:$AI$43,27,0)</f>
        <v>125.481060920017</v>
      </c>
      <c r="K4" s="60">
        <f>VLOOKUP(B4,Liegenschaften!$D$4:$AI$43,27,0)</f>
        <v>125.481060920017</v>
      </c>
      <c r="L4" s="229" t="str">
        <f>VLOOKUP(B4,Liegenschaften!$D$4:$AI$43,28,0)</f>
        <v>D</v>
      </c>
      <c r="M4" s="231">
        <f>VLOOKUP(B4,Liegenschaften!$D$4:$AI$43,29,0)</f>
        <v>125.481060920017</v>
      </c>
    </row>
    <row r="5" spans="1:13" ht="12.75">
      <c r="A5">
        <v>2</v>
      </c>
      <c r="B5" s="228" t="str">
        <f>VLOOKUP(A5,Liegenschaften!$A$4:$AG$43,4,0)</f>
        <v>Haus des Gastes, Seminargebäude (Br)</v>
      </c>
      <c r="C5" s="60" t="str">
        <f>VLOOKUP(B5,Liegenschaften!$D$4:$AI$43,4,0)</f>
        <v>1991/
1993</v>
      </c>
      <c r="D5" s="60" t="str">
        <f>VLOOKUP(B5,Liegenschaften!$D$4:$AI$43,5,0)</f>
        <v>Erdgas</v>
      </c>
      <c r="E5" s="60" t="str">
        <f>VLOOKUP(B5,Liegenschaften!$D$4:$AI$43,20,0)</f>
        <v>kWh (Gas)</v>
      </c>
      <c r="F5" s="229">
        <f>VLOOKUP(B5,Liegenschaften!$D$4:$AI$43,23,0)</f>
        <v>256518.6</v>
      </c>
      <c r="G5" s="230">
        <f>VLOOKUP(B5,Liegenschaften!$D$4:$AI$43,24,0)</f>
        <v>23086.674</v>
      </c>
      <c r="H5" s="229">
        <f>VLOOKUP(B5,Liegenschaften!$D$4:$AI$43,25,0)</f>
        <v>51303.72</v>
      </c>
      <c r="I5" s="229">
        <f>VLOOKUP(B5,Liegenschaften!$D$4:$AI$43,26,0)</f>
        <v>791.235657001851</v>
      </c>
      <c r="J5" s="229">
        <f>VLOOKUP(B5,Liegenschaften!$D$4:$AI$43,27,0)</f>
        <v>158.540543881335</v>
      </c>
      <c r="K5" s="60">
        <f>VLOOKUP(B5,Liegenschaften!$D$4:$AI$43,27,0)</f>
        <v>158.540543881335</v>
      </c>
      <c r="L5" s="229" t="str">
        <f>VLOOKUP(B5,Liegenschaften!$D$4:$AI$43,28,0)</f>
        <v>E</v>
      </c>
      <c r="M5" s="231">
        <f>VLOOKUP(B5,Liegenschaften!$D$4:$AI$43,29,0)</f>
        <v>634.16217552534</v>
      </c>
    </row>
    <row r="6" spans="1:13" ht="12.8">
      <c r="A6">
        <v>3</v>
      </c>
      <c r="B6" s="228" t="str">
        <f>VLOOKUP(A6,Liegenschaften!$A$4:$AG$43,4,0)</f>
        <v>MZH (Ti)</v>
      </c>
      <c r="C6" s="60">
        <f>VLOOKUP(B6,Liegenschaften!$D$4:$AI$43,4,0)</f>
        <v>2018</v>
      </c>
      <c r="D6" s="60" t="str">
        <f>VLOOKUP(B6,Liegenschaften!$D$4:$AI$43,5,0)</f>
        <v>Öl</v>
      </c>
      <c r="E6" s="60" t="str">
        <f>VLOOKUP(B6,Liegenschaften!$D$4:$AI$43,20,0)</f>
        <v>Liter (Öl)</v>
      </c>
      <c r="F6" s="229">
        <f>VLOOKUP(B6,Liegenschaften!$D$4:$AI$43,23,0)</f>
        <v>115458</v>
      </c>
      <c r="G6" s="230">
        <f>VLOOKUP(B6,Liegenschaften!$D$4:$AI$43,24,0)</f>
        <v>11545.8</v>
      </c>
      <c r="H6" s="229">
        <f>VLOOKUP(B6,Liegenschaften!$D$4:$AI$43,25,0)</f>
        <v>31173.66</v>
      </c>
      <c r="I6" s="229">
        <f>VLOOKUP(B6,Liegenschaften!$D$4:$AI$43,26,0)</f>
        <v>796.262068965517</v>
      </c>
      <c r="J6" s="229">
        <f>VLOOKUP(B6,Liegenschaften!$D$4:$AI$43,27,0)</f>
        <v>192.109816971714</v>
      </c>
      <c r="K6" s="60">
        <f>VLOOKUP(B6,Liegenschaften!$D$4:$AI$43,27,0)</f>
        <v>192.109816971714</v>
      </c>
      <c r="L6" s="229" t="str">
        <f>VLOOKUP(B6,Liegenschaften!$D$4:$AI$43,28,0)</f>
        <v>F</v>
      </c>
      <c r="M6" s="231">
        <f>VLOOKUP(B6,Liegenschaften!$D$4:$AI$43,29,0)</f>
        <v>768.439267886855</v>
      </c>
    </row>
    <row r="7" spans="1:13" ht="12.75">
      <c r="A7">
        <v>4</v>
      </c>
      <c r="B7" s="228" t="str">
        <f>VLOOKUP(A7,Liegenschaften!$A$4:$AG$43,4,0)</f>
        <v>Stadtmuseum (Br)</v>
      </c>
      <c r="C7" s="60">
        <f>VLOOKUP(B7,Liegenschaften!$D$4:$AI$43,4,0)</f>
        <v>2009</v>
      </c>
      <c r="D7" s="60" t="str">
        <f>VLOOKUP(B7,Liegenschaften!$D$4:$AI$43,5,0)</f>
        <v>Erdgas</v>
      </c>
      <c r="E7" s="60" t="str">
        <f>VLOOKUP(B7,Liegenschaften!$D$4:$AI$43,20,0)</f>
        <v>kWh (Gas)</v>
      </c>
      <c r="F7" s="229">
        <f>VLOOKUP(B7,Liegenschaften!$D$4:$AI$43,23,0)</f>
        <v>102742.6</v>
      </c>
      <c r="G7" s="230">
        <f>VLOOKUP(B7,Liegenschaften!$D$4:$AI$43,24,0)</f>
        <v>9246.834</v>
      </c>
      <c r="H7" s="229">
        <f>VLOOKUP(B7,Liegenschaften!$D$4:$AI$43,25,0)</f>
        <v>20548.52</v>
      </c>
      <c r="I7" s="229">
        <f>VLOOKUP(B7,Liegenschaften!$D$4:$AI$43,26,0)</f>
        <v>3848.03745318352</v>
      </c>
      <c r="J7" s="229">
        <f>VLOOKUP(B7,Liegenschaften!$D$4:$AI$43,27,0)</f>
        <v>303.972189349112</v>
      </c>
      <c r="K7" s="60">
        <f>VLOOKUP(B7,Liegenschaften!$D$4:$AI$43,27,0)</f>
        <v>303.972189349112</v>
      </c>
      <c r="L7" s="229" t="str">
        <f>VLOOKUP(B7,Liegenschaften!$D$4:$AI$43,28,0)</f>
        <v>H</v>
      </c>
      <c r="M7" s="231">
        <f>VLOOKUP(B7,Liegenschaften!$D$4:$AI$43,29,0)</f>
        <v>303.972189349112</v>
      </c>
    </row>
    <row r="8" spans="1:13" ht="12.75">
      <c r="A8">
        <v>5</v>
      </c>
      <c r="B8" s="228" t="str">
        <f>VLOOKUP(A8,Liegenschaften!$A$4:$AG$43,4,0)</f>
        <v>Mehrzweckhalle (Al)</v>
      </c>
      <c r="C8" s="60">
        <f>VLOOKUP(B8,Liegenschaften!$D$4:$AI$43,4,0)</f>
        <v>1991</v>
      </c>
      <c r="D8" s="60" t="str">
        <f>VLOOKUP(B8,Liegenschaften!$D$4:$AI$43,5,0)</f>
        <v>Öl</v>
      </c>
      <c r="E8" s="60" t="str">
        <f>VLOOKUP(B8,Liegenschaften!$D$4:$AI$43,20,0)</f>
        <v>Liter (Öl)</v>
      </c>
      <c r="F8" s="229">
        <f>VLOOKUP(B8,Liegenschaften!$D$4:$AI$43,23,0)</f>
        <v>75216</v>
      </c>
      <c r="G8" s="230">
        <f>VLOOKUP(B8,Liegenschaften!$D$4:$AI$43,24,0)</f>
        <v>7521.6</v>
      </c>
      <c r="H8" s="229">
        <f>VLOOKUP(B8,Liegenschaften!$D$4:$AI$43,25,0)</f>
        <v>20308.32</v>
      </c>
      <c r="I8" s="229">
        <f>VLOOKUP(B8,Liegenschaften!$D$4:$AI$43,26,0)</f>
        <v>358.171428571429</v>
      </c>
      <c r="J8" s="229">
        <f>VLOOKUP(B8,Liegenschaften!$D$4:$AI$43,27,0)</f>
        <v>95.2101265822785</v>
      </c>
      <c r="K8" s="60">
        <f>VLOOKUP(B8,Liegenschaften!$D$4:$AI$43,27,0)</f>
        <v>95.2101265822785</v>
      </c>
      <c r="L8" s="229" t="str">
        <f>VLOOKUP(B8,Liegenschaften!$D$4:$AI$43,28,0)</f>
        <v>C</v>
      </c>
      <c r="M8" s="231">
        <f>VLOOKUP(B8,Liegenschaften!$D$4:$AI$43,29,0)</f>
        <v>476.050632911392</v>
      </c>
    </row>
    <row r="9" spans="1:13" ht="12.75">
      <c r="A9">
        <v>6</v>
      </c>
      <c r="B9" s="228" t="str">
        <f>VLOOKUP(A9,Liegenschaften!$A$4:$AG$43,4,0)</f>
        <v>Kita Schlossmäuse Altbau (Br)</v>
      </c>
      <c r="C9" s="60">
        <f>VLOOKUP(B9,Liegenschaften!$D$4:$AI$43,4,0)</f>
        <v>2017</v>
      </c>
      <c r="D9" s="60" t="str">
        <f>VLOOKUP(B9,Liegenschaften!$D$4:$AI$43,5,0)</f>
        <v>Erdgas </v>
      </c>
      <c r="E9" s="60" t="str">
        <f>VLOOKUP(B9,Liegenschaften!$D$4:$AI$43,20,0)</f>
        <v>kWh (Gas)</v>
      </c>
      <c r="F9" s="229">
        <f>VLOOKUP(B9,Liegenschaften!$D$4:$AI$43,23,0)</f>
        <v>94484</v>
      </c>
      <c r="G9" s="230">
        <f>VLOOKUP(B9,Liegenschaften!$D$4:$AI$43,24,0)</f>
        <v>8503.56</v>
      </c>
      <c r="H9" s="229">
        <f>VLOOKUP(B9,Liegenschaften!$D$4:$AI$43,25,0)</f>
        <v>18896.8</v>
      </c>
      <c r="I9" s="229">
        <f>VLOOKUP(B9,Liegenschaften!$D$4:$AI$43,26,0)</f>
        <v>1453.6</v>
      </c>
      <c r="J9" s="229">
        <f>VLOOKUP(B9,Liegenschaften!$D$4:$AI$43,27,0)</f>
        <v>128.375</v>
      </c>
      <c r="K9" s="60">
        <f>VLOOKUP(B9,Liegenschaften!$D$4:$AI$43,27,0)</f>
        <v>128.375</v>
      </c>
      <c r="L9" s="229" t="str">
        <f>VLOOKUP(B9,Liegenschaften!$D$4:$AI$43,28,0)</f>
        <v>D</v>
      </c>
      <c r="M9" s="231">
        <f>VLOOKUP(B9,Liegenschaften!$D$4:$AI$43,29,0)</f>
        <v>135.131578947368</v>
      </c>
    </row>
    <row r="10" spans="1:13" ht="12.75">
      <c r="A10">
        <v>7</v>
      </c>
      <c r="B10" s="228" t="str">
        <f>VLOOKUP(A10,Liegenschaften!$A$4:$AG$43,4,0)</f>
        <v>Gymnastikhalle (Ne)</v>
      </c>
      <c r="C10" s="60">
        <f>VLOOKUP(B10,Liegenschaften!$D$4:$AI$43,4,0)</f>
        <v>2019</v>
      </c>
      <c r="D10" s="60" t="str">
        <f>VLOOKUP(B10,Liegenschaften!$D$4:$AI$43,5,0)</f>
        <v>Öl</v>
      </c>
      <c r="E10" s="60" t="str">
        <f>VLOOKUP(B10,Liegenschaften!$D$4:$AI$43,20,0)</f>
        <v>Liter (Öl)</v>
      </c>
      <c r="F10" s="229">
        <f>VLOOKUP(B10,Liegenschaften!$D$4:$AI$43,23,0)</f>
        <v>69162.5</v>
      </c>
      <c r="G10" s="230">
        <f>VLOOKUP(B10,Liegenschaften!$D$4:$AI$43,24,0)</f>
        <v>6916.25</v>
      </c>
      <c r="H10" s="229">
        <f>VLOOKUP(B10,Liegenschaften!$D$4:$AI$43,25,0)</f>
        <v>18673.875</v>
      </c>
      <c r="I10" s="229">
        <f>VLOOKUP(B10,Liegenschaften!$D$4:$AI$43,26,0)</f>
        <v>1158.50083752094</v>
      </c>
      <c r="J10" s="229">
        <f>VLOOKUP(B10,Liegenschaften!$D$4:$AI$43,27,0)</f>
        <v>145.605263157895</v>
      </c>
      <c r="K10" s="60">
        <f>VLOOKUP(B10,Liegenschaften!$D$4:$AI$43,27,0)</f>
        <v>145.605263157895</v>
      </c>
      <c r="L10" s="229" t="str">
        <f>VLOOKUP(B10,Liegenschaften!$D$4:$AI$43,28,0)</f>
        <v>E</v>
      </c>
      <c r="M10" s="231">
        <f>VLOOKUP(B10,Liegenschaften!$D$4:$AI$43,29,0)</f>
        <v>582.421052631579</v>
      </c>
    </row>
    <row r="11" spans="1:13" ht="12.75">
      <c r="A11">
        <v>8</v>
      </c>
      <c r="B11" s="228" t="str">
        <f>VLOOKUP(A11,Liegenschaften!$A$4:$AG$43,4,0)</f>
        <v>Bauhof Werkstatt (Br)</v>
      </c>
      <c r="C11" s="60">
        <f>VLOOKUP(B11,Liegenschaften!$D$4:$AI$43,4,0)</f>
        <v>1999</v>
      </c>
      <c r="D11" s="60" t="str">
        <f>VLOOKUP(B11,Liegenschaften!$D$4:$AI$43,5,0)</f>
        <v>Erdgas</v>
      </c>
      <c r="E11" s="60" t="str">
        <f>VLOOKUP(B11,Liegenschaften!$D$4:$AI$43,20,0)</f>
        <v>kWh (Gas)</v>
      </c>
      <c r="F11" s="229">
        <f>VLOOKUP(B11,Liegenschaften!$D$4:$AI$43,23,0)</f>
        <v>92725.6</v>
      </c>
      <c r="G11" s="230">
        <f>VLOOKUP(B11,Liegenschaften!$D$4:$AI$43,24,0)</f>
        <v>8345.304</v>
      </c>
      <c r="H11" s="229">
        <f>VLOOKUP(B11,Liegenschaften!$D$4:$AI$43,25,0)</f>
        <v>18545.12</v>
      </c>
      <c r="I11" s="229">
        <f>VLOOKUP(B11,Liegenschaften!$D$4:$AI$43,26,0)</f>
        <v>1598.71724137931</v>
      </c>
      <c r="J11" s="229">
        <f>VLOOKUP(B11,Liegenschaften!$D$4:$AI$43,27,0)</f>
        <v>356.636923076923</v>
      </c>
      <c r="K11" s="60">
        <f>VLOOKUP(B11,Liegenschaften!$D$4:$AI$43,27,0)</f>
        <v>356.636923076923</v>
      </c>
      <c r="L11" s="229" t="str">
        <f>VLOOKUP(B11,Liegenschaften!$D$4:$AI$43,28,0)</f>
        <v>H</v>
      </c>
      <c r="M11" s="231">
        <f>VLOOKUP(B11,Liegenschaften!$D$4:$AI$43,29,0)</f>
        <v>356.636923076923</v>
      </c>
    </row>
    <row r="12" spans="1:13" ht="12.75">
      <c r="A12">
        <v>9</v>
      </c>
      <c r="B12" s="228" t="str">
        <f>VLOOKUP(A12,Liegenschaften!$A$4:$AG$43,4,0)</f>
        <v>Mehrzweckhalle (Bo)</v>
      </c>
      <c r="C12" s="60">
        <f>VLOOKUP(B12,Liegenschaften!$D$4:$AI$43,4,0)</f>
        <v>2020</v>
      </c>
      <c r="D12" s="60" t="str">
        <f>VLOOKUP(B12,Liegenschaften!$D$4:$AI$43,5,0)</f>
        <v>Erdgas </v>
      </c>
      <c r="E12" s="60" t="str">
        <f>VLOOKUP(B12,Liegenschaften!$D$4:$AI$43,20,0)</f>
        <v>kWh (Gas)</v>
      </c>
      <c r="F12" s="229">
        <f>VLOOKUP(B12,Liegenschaften!$D$4:$AI$43,23,0)</f>
        <v>90440.8</v>
      </c>
      <c r="G12" s="230">
        <f>VLOOKUP(B12,Liegenschaften!$D$4:$AI$43,24,0)</f>
        <v>8139.672</v>
      </c>
      <c r="H12" s="229">
        <f>VLOOKUP(B12,Liegenschaften!$D$4:$AI$43,25,0)</f>
        <v>18088.16</v>
      </c>
      <c r="I12" s="229">
        <f>VLOOKUP(B12,Liegenschaften!$D$4:$AI$43,26,0)</f>
        <v>602.938666666667</v>
      </c>
      <c r="J12" s="229">
        <f>VLOOKUP(B12,Liegenschaften!$D$4:$AI$43,27,0)</f>
        <v>115.211210191083</v>
      </c>
      <c r="K12" s="60">
        <f>VLOOKUP(B12,Liegenschaften!$D$4:$AI$43,27,0)</f>
        <v>115.211210191083</v>
      </c>
      <c r="L12" s="229" t="str">
        <f>VLOOKUP(B12,Liegenschaften!$D$4:$AI$43,28,0)</f>
        <v>D</v>
      </c>
      <c r="M12" s="231">
        <f>VLOOKUP(B12,Liegenschaften!$D$4:$AI$43,29,0)</f>
        <v>576.056050955414</v>
      </c>
    </row>
    <row r="13" spans="1:13" ht="12.75">
      <c r="A13">
        <v>10</v>
      </c>
      <c r="B13" s="228" t="str">
        <f>VLOOKUP(A13,Liegenschaften!$A$4:$AG$43,4,0)</f>
        <v>Dorfgemeinschaftshaus (Ne)</v>
      </c>
      <c r="C13" s="60">
        <f>VLOOKUP(B13,Liegenschaften!$D$4:$AI$43,4,0)</f>
        <v>2004</v>
      </c>
      <c r="D13" s="60" t="str">
        <f>VLOOKUP(B13,Liegenschaften!$D$4:$AI$43,5,0)</f>
        <v>Öl</v>
      </c>
      <c r="E13" s="60" t="str">
        <f>VLOOKUP(B13,Liegenschaften!$D$4:$AI$43,20,0)</f>
        <v>Liter (Öl)</v>
      </c>
      <c r="F13" s="229">
        <f>VLOOKUP(B13,Liegenschaften!$D$4:$AI$43,23,0)</f>
        <v>57804</v>
      </c>
      <c r="G13" s="230">
        <f>VLOOKUP(B13,Liegenschaften!$D$4:$AI$43,24,0)</f>
        <v>5780.4</v>
      </c>
      <c r="H13" s="229">
        <f>VLOOKUP(B13,Liegenschaften!$D$4:$AI$43,25,0)</f>
        <v>15607.08</v>
      </c>
      <c r="I13" s="229">
        <f>VLOOKUP(B13,Liegenschaften!$D$4:$AI$43,26,0)</f>
        <v>680.047058823529</v>
      </c>
      <c r="J13" s="229">
        <f>VLOOKUP(B13,Liegenschaften!$D$4:$AI$43,27,0)</f>
        <v>140.985365853659</v>
      </c>
      <c r="K13" s="60">
        <f>VLOOKUP(B13,Liegenschaften!$D$4:$AI$43,27,0)</f>
        <v>140.985365853659</v>
      </c>
      <c r="L13" s="229" t="str">
        <f>VLOOKUP(B13,Liegenschaften!$D$4:$AI$43,28,0)</f>
        <v>E</v>
      </c>
      <c r="M13" s="231">
        <f>VLOOKUP(B13,Liegenschaften!$D$4:$AI$43,29,0)</f>
        <v>140.985365853659</v>
      </c>
    </row>
    <row r="14" spans="1:13" ht="12.75">
      <c r="A14">
        <v>11</v>
      </c>
      <c r="B14" s="228" t="str">
        <f>VLOOKUP(A14,Liegenschaften!$A$4:$AG$43,4,0)</f>
        <v>Ehem. Verwaltung Vereinsgebäude mit Feuerwehr (Bo)</v>
      </c>
      <c r="C14" s="60">
        <f>VLOOKUP(B14,Liegenschaften!$D$4:$AI$43,4,0)</f>
        <v>1983</v>
      </c>
      <c r="D14" s="60" t="str">
        <f>VLOOKUP(B14,Liegenschaften!$D$4:$AI$43,5,0)</f>
        <v>Erdgas</v>
      </c>
      <c r="E14" s="60" t="str">
        <f>VLOOKUP(B14,Liegenschaften!$D$4:$AI$43,20,0)</f>
        <v>kWh (Gas)</v>
      </c>
      <c r="F14" s="229">
        <f>VLOOKUP(B14,Liegenschaften!$D$4:$AI$43,23,0)</f>
        <v>77645</v>
      </c>
      <c r="G14" s="230">
        <f>VLOOKUP(B14,Liegenschaften!$D$4:$AI$43,24,0)</f>
        <v>6988.05</v>
      </c>
      <c r="H14" s="229">
        <f>VLOOKUP(B14,Liegenschaften!$D$4:$AI$43,25,0)</f>
        <v>15529</v>
      </c>
      <c r="I14" s="229">
        <f>VLOOKUP(B14,Liegenschaften!$D$4:$AI$43,26,0)</f>
        <v>4313.61111111111</v>
      </c>
      <c r="J14" s="229">
        <f>VLOOKUP(B14,Liegenschaften!$D$4:$AI$43,27,0)</f>
        <v>126.457654723127</v>
      </c>
      <c r="K14" s="60">
        <f>VLOOKUP(B14,Liegenschaften!$D$4:$AI$43,27,0)</f>
        <v>126.457654723127</v>
      </c>
      <c r="L14" s="229" t="str">
        <f>VLOOKUP(B14,Liegenschaften!$D$4:$AI$43,28,0)</f>
        <v>D</v>
      </c>
      <c r="M14" s="231">
        <f>VLOOKUP(B14,Liegenschaften!$D$4:$AI$43,29,0)</f>
        <v>126.457654723127</v>
      </c>
    </row>
    <row r="15" spans="1:13" ht="12.75">
      <c r="A15">
        <v>12</v>
      </c>
      <c r="B15" s="228" t="str">
        <f>VLOOKUP(A15,Liegenschaften!$A$4:$AG$43,4,0)</f>
        <v>Schwimmbad (Br)</v>
      </c>
      <c r="C15" s="60">
        <f>VLOOKUP(B15,Liegenschaften!$D$4:$AI$43,4,0)</f>
        <v>1987</v>
      </c>
      <c r="D15" s="60" t="str">
        <f>VLOOKUP(B15,Liegenschaften!$D$4:$AI$43,5,0)</f>
        <v>Erdgas </v>
      </c>
      <c r="E15" s="60" t="str">
        <f>VLOOKUP(B15,Liegenschaften!$D$4:$AI$43,20,0)</f>
        <v>kWh (Gas)</v>
      </c>
      <c r="F15" s="229">
        <f>VLOOKUP(B15,Liegenschaften!$D$4:$AI$43,23,0)</f>
        <v>77100</v>
      </c>
      <c r="G15" s="230">
        <f>VLOOKUP(B15,Liegenschaften!$D$4:$AI$43,24,0)</f>
        <v>6939</v>
      </c>
      <c r="H15" s="229">
        <f>VLOOKUP(B15,Liegenschaften!$D$4:$AI$43,25,0)</f>
        <v>15420</v>
      </c>
      <c r="I15" s="229">
        <f>VLOOKUP(B15,Liegenschaften!$D$4:$AI$43,26,0)</f>
        <v>220.285714285714</v>
      </c>
      <c r="J15" s="229">
        <f>VLOOKUP(B15,Liegenschaften!$D$4:$AI$43,27,0)</f>
        <v>0</v>
      </c>
      <c r="K15" s="60">
        <f>VLOOKUP(B15,Liegenschaften!$D$4:$AI$43,27,0)</f>
        <v>0</v>
      </c>
      <c r="L15" s="229">
        <f>VLOOKUP(B15,Liegenschaften!$D$4:$AI$43,28,0)</f>
        <v>0</v>
      </c>
      <c r="M15" s="231">
        <f>VLOOKUP(B15,Liegenschaften!$D$4:$AI$43,29,0)</f>
        <v>0</v>
      </c>
    </row>
    <row r="16" spans="1:13" ht="12.75">
      <c r="A16">
        <v>13</v>
      </c>
      <c r="B16" s="228" t="str">
        <f>VLOOKUP(A16,Liegenschaften!$A$4:$AG$43,4,0)</f>
        <v>Kindergarten (Bo)</v>
      </c>
      <c r="C16" s="60">
        <f>VLOOKUP(B16,Liegenschaften!$D$4:$AI$43,4,0)</f>
        <v>2013</v>
      </c>
      <c r="D16" s="60" t="str">
        <f>VLOOKUP(B16,Liegenschaften!$D$4:$AI$43,5,0)</f>
        <v>Erdgas</v>
      </c>
      <c r="E16" s="60" t="str">
        <f>VLOOKUP(B16,Liegenschaften!$D$4:$AI$43,20,0)</f>
        <v>kWh (Gas)</v>
      </c>
      <c r="F16" s="229">
        <f>VLOOKUP(B16,Liegenschaften!$D$4:$AI$43,23,0)</f>
        <v>60734.8</v>
      </c>
      <c r="G16" s="230">
        <f>VLOOKUP(B16,Liegenschaften!$D$4:$AI$43,24,0)</f>
        <v>5466.132</v>
      </c>
      <c r="H16" s="229">
        <f>VLOOKUP(B16,Liegenschaften!$D$4:$AI$43,25,0)</f>
        <v>12146.96</v>
      </c>
      <c r="I16" s="229">
        <f>VLOOKUP(B16,Liegenschaften!$D$4:$AI$43,26,0)</f>
        <v>964.044444444444</v>
      </c>
      <c r="J16" s="229">
        <f>VLOOKUP(B16,Liegenschaften!$D$4:$AI$43,27,0)</f>
        <v>74.521226993865</v>
      </c>
      <c r="K16" s="60">
        <f>VLOOKUP(B16,Liegenschaften!$D$4:$AI$43,27,0)</f>
        <v>74.521226993865</v>
      </c>
      <c r="L16" s="229" t="str">
        <f>VLOOKUP(B16,Liegenschaften!$D$4:$AI$43,28,0)</f>
        <v>B</v>
      </c>
      <c r="M16" s="231">
        <f>VLOOKUP(B16,Liegenschaften!$D$4:$AI$43,29,0)</f>
        <v>78.4433968356474</v>
      </c>
    </row>
    <row r="17" spans="1:13" ht="12.75">
      <c r="A17">
        <v>14</v>
      </c>
      <c r="B17" s="228" t="str">
        <f>VLOOKUP(A17,Liegenschaften!$A$4:$AG$43,4,0)</f>
        <v>ehem. Sparkassengebäude (Br)</v>
      </c>
      <c r="C17" s="60">
        <f>VLOOKUP(B17,Liegenschaften!$D$4:$AI$43,4,0)</f>
        <v>1981</v>
      </c>
      <c r="D17" s="60" t="str">
        <f>VLOOKUP(B17,Liegenschaften!$D$4:$AI$43,5,0)</f>
        <v>Erdgas</v>
      </c>
      <c r="E17" s="60" t="str">
        <f>VLOOKUP(B17,Liegenschaften!$D$4:$AI$43,20,0)</f>
        <v>kWh (Gas)</v>
      </c>
      <c r="F17" s="229">
        <f>VLOOKUP(B17,Liegenschaften!$D$4:$AI$43,23,0)</f>
        <v>57029.5</v>
      </c>
      <c r="G17" s="230">
        <f>VLOOKUP(B17,Liegenschaften!$D$4:$AI$43,24,0)</f>
        <v>5132.655</v>
      </c>
      <c r="H17" s="229">
        <f>VLOOKUP(B17,Liegenschaften!$D$4:$AI$43,25,0)</f>
        <v>11405.9</v>
      </c>
      <c r="I17" s="229">
        <f>VLOOKUP(B17,Liegenschaften!$D$4:$AI$43,26,0)</f>
        <v>1022.03405017921</v>
      </c>
      <c r="J17" s="229">
        <f>VLOOKUP(B17,Liegenschaften!$D$4:$AI$43,27,0)</f>
        <v>131.404377880184</v>
      </c>
      <c r="K17" s="60">
        <f>VLOOKUP(B17,Liegenschaften!$D$4:$AI$43,27,0)</f>
        <v>131.404377880184</v>
      </c>
      <c r="L17" s="229" t="str">
        <f>VLOOKUP(B17,Liegenschaften!$D$4:$AI$43,28,0)</f>
        <v>E</v>
      </c>
      <c r="M17" s="231">
        <f>VLOOKUP(B17,Liegenschaften!$D$4:$AI$43,29,0)</f>
        <v>0</v>
      </c>
    </row>
    <row r="18" spans="1:13" ht="12.75">
      <c r="A18">
        <v>15</v>
      </c>
      <c r="B18" s="228" t="str">
        <f>VLOOKUP(A18,Liegenschaften!$A$4:$AG$43,4,0)</f>
        <v>Bauhof Büro (Br)</v>
      </c>
      <c r="C18" s="60">
        <f>VLOOKUP(B18,Liegenschaften!$D$4:$AI$43,4,0)</f>
        <v>2000</v>
      </c>
      <c r="D18" s="60" t="str">
        <f>VLOOKUP(B18,Liegenschaften!$D$4:$AI$43,5,0)</f>
        <v>Erdgas </v>
      </c>
      <c r="E18" s="60" t="str">
        <f>VLOOKUP(B18,Liegenschaften!$D$4:$AI$43,20,0)</f>
        <v>kWh (Gas)</v>
      </c>
      <c r="F18" s="229">
        <f>VLOOKUP(B18,Liegenschaften!$D$4:$AI$43,23,0)</f>
        <v>53694.2</v>
      </c>
      <c r="G18" s="230">
        <f>VLOOKUP(B18,Liegenschaften!$D$4:$AI$43,24,0)</f>
        <v>4832.478</v>
      </c>
      <c r="H18" s="229">
        <f>VLOOKUP(B18,Liegenschaften!$D$4:$AI$43,25,0)</f>
        <v>10738.84</v>
      </c>
      <c r="I18" s="229">
        <f>VLOOKUP(B18,Liegenschaften!$D$4:$AI$43,26,0)</f>
        <v>910.071186440678</v>
      </c>
      <c r="J18" s="229">
        <f>VLOOKUP(B18,Liegenschaften!$D$4:$AI$43,27,0)</f>
        <v>233.453043478261</v>
      </c>
      <c r="K18" s="60">
        <f>VLOOKUP(B18,Liegenschaften!$D$4:$AI$43,27,0)</f>
        <v>233.453043478261</v>
      </c>
      <c r="L18" s="229" t="str">
        <f>VLOOKUP(B18,Liegenschaften!$D$4:$AI$43,28,0)</f>
        <v>G</v>
      </c>
      <c r="M18" s="231">
        <f>VLOOKUP(B18,Liegenschaften!$D$4:$AI$43,29,0)</f>
        <v>233.453043478261</v>
      </c>
    </row>
    <row r="19" spans="1:13" ht="12.75">
      <c r="A19">
        <v>16</v>
      </c>
      <c r="B19" s="228" t="str">
        <f>VLOOKUP(A19,Liegenschaften!$A$4:$AG$43,4,0)</f>
        <v>Kindergarten (Al)</v>
      </c>
      <c r="C19" s="60">
        <f>VLOOKUP(B19,Liegenschaften!$D$4:$AI$43,4,0)</f>
        <v>2015</v>
      </c>
      <c r="D19" s="60" t="str">
        <f>VLOOKUP(B19,Liegenschaften!$D$4:$AI$43,5,0)</f>
        <v>Flüssiggas</v>
      </c>
      <c r="E19" s="60" t="str">
        <f>VLOOKUP(B19,Liegenschaften!$D$4:$AI$43,20,0)</f>
        <v>Liter (Fl.gas)</v>
      </c>
      <c r="F19" s="229">
        <f>VLOOKUP(B19,Liegenschaften!$D$4:$AI$43,23,0)</f>
        <v>32573.5837386579</v>
      </c>
      <c r="G19" s="230">
        <f>VLOOKUP(B19,Liegenschaften!$D$4:$AI$43,24,0)</f>
        <v>2931.62253647921</v>
      </c>
      <c r="H19" s="229">
        <f>VLOOKUP(B19,Liegenschaften!$D$4:$AI$43,25,0)</f>
        <v>8469.13177205106</v>
      </c>
      <c r="I19" s="229">
        <f>VLOOKUP(B19,Liegenschaften!$D$4:$AI$43,26,0)</f>
        <v>1380.23659909568</v>
      </c>
      <c r="J19" s="229">
        <f>VLOOKUP(B19,Liegenschaften!$D$4:$AI$43,27,0)</f>
        <v>139.203349310504</v>
      </c>
      <c r="K19" s="60">
        <f>VLOOKUP(B19,Liegenschaften!$D$4:$AI$43,27,0)</f>
        <v>139.203349310504</v>
      </c>
      <c r="L19" s="229" t="str">
        <f>VLOOKUP(B19,Liegenschaften!$D$4:$AI$43,28,0)</f>
        <v>E</v>
      </c>
      <c r="M19" s="231">
        <f>VLOOKUP(B19,Liegenschaften!$D$4:$AI$43,29,0)</f>
        <v>146.529841379478</v>
      </c>
    </row>
    <row r="20" spans="1:13" ht="12.75">
      <c r="A20">
        <v>17</v>
      </c>
      <c r="B20" s="228" t="str">
        <f>VLOOKUP(A20,Liegenschaften!$A$4:$AG$43,4,0)</f>
        <v>Mehrzweckhalle, Vereinsraum (Ph)</v>
      </c>
      <c r="C20" s="60">
        <f>VLOOKUP(B20,Liegenschaften!$D$4:$AI$43,4,0)</f>
        <v>2005</v>
      </c>
      <c r="D20" s="60" t="str">
        <f>VLOOKUP(B20,Liegenschaften!$D$4:$AI$43,5,0)</f>
        <v>Erdgas </v>
      </c>
      <c r="E20" s="60" t="str">
        <f>VLOOKUP(B20,Liegenschaften!$D$4:$AI$43,20,0)</f>
        <v>kWh (Gas)</v>
      </c>
      <c r="F20" s="229">
        <f>VLOOKUP(B20,Liegenschaften!$D$4:$AI$43,23,0)</f>
        <v>37158.4</v>
      </c>
      <c r="G20" s="230">
        <f>VLOOKUP(B20,Liegenschaften!$D$4:$AI$43,24,0)</f>
        <v>3344.256</v>
      </c>
      <c r="H20" s="229">
        <f>VLOOKUP(B20,Liegenschaften!$D$4:$AI$43,25,0)</f>
        <v>7431.68</v>
      </c>
      <c r="I20" s="229">
        <f>VLOOKUP(B20,Liegenschaften!$D$4:$AI$43,26,0)</f>
        <v>1548.26666666667</v>
      </c>
      <c r="J20" s="229">
        <f>VLOOKUP(B20,Liegenschaften!$D$4:$AI$43,27,0)</f>
        <v>530.834285714286</v>
      </c>
      <c r="K20" s="60">
        <f>VLOOKUP(B20,Liegenschaften!$D$4:$AI$43,27,0)</f>
        <v>530.834285714286</v>
      </c>
      <c r="L20" s="229" t="str">
        <f>VLOOKUP(B20,Liegenschaften!$D$4:$AI$43,28,0)</f>
        <v>H</v>
      </c>
      <c r="M20" s="231">
        <f>VLOOKUP(B20,Liegenschaften!$D$4:$AI$43,29,0)</f>
        <v>530.834285714286</v>
      </c>
    </row>
    <row r="21" spans="1:13" ht="12.8">
      <c r="A21">
        <v>18</v>
      </c>
      <c r="B21" s="228" t="str">
        <f>VLOOKUP(A21,Liegenschaften!$A$4:$AG$43,4,0)</f>
        <v>Sportanlagen Umkleide FSV (Br)</v>
      </c>
      <c r="C21" s="60">
        <f>VLOOKUP(B21,Liegenschaften!$D$4:$AI$43,4,0)</f>
        <v>1987</v>
      </c>
      <c r="D21" s="60" t="str">
        <f>VLOOKUP(B21,Liegenschaften!$D$4:$AI$43,5,0)</f>
        <v>Erdgas</v>
      </c>
      <c r="E21" s="60" t="str">
        <f>VLOOKUP(B21,Liegenschaften!$D$4:$AI$43,20,0)</f>
        <v>kWh (Gas)</v>
      </c>
      <c r="F21" s="229">
        <f>VLOOKUP(B21,Liegenschaften!$D$4:$AI$43,23,0)</f>
        <v>36757</v>
      </c>
      <c r="G21" s="230">
        <f>VLOOKUP(B21,Liegenschaften!$D$4:$AI$43,24,0)</f>
        <v>3308.13</v>
      </c>
      <c r="H21" s="229">
        <f>VLOOKUP(B21,Liegenschaften!$D$4:$AI$43,25,0)</f>
        <v>7351.4</v>
      </c>
      <c r="I21" s="229">
        <f>VLOOKUP(B21,Liegenschaften!$D$4:$AI$43,26,0)</f>
        <v>574.328125</v>
      </c>
      <c r="J21" s="229">
        <f>VLOOKUP(B21,Liegenschaften!$D$4:$AI$43,27,0)</f>
        <v>0</v>
      </c>
      <c r="K21" s="60">
        <f>VLOOKUP(B21,Liegenschaften!$D$4:$AI$43,27,0)</f>
        <v>0</v>
      </c>
      <c r="L21" s="229">
        <f>VLOOKUP(B21,Liegenschaften!$D$4:$AI$43,28,0)</f>
        <v>0</v>
      </c>
      <c r="M21" s="231">
        <f>VLOOKUP(B21,Liegenschaften!$D$4:$AI$43,29,0)</f>
        <v>0</v>
      </c>
    </row>
    <row r="22" spans="1:13" ht="12.75">
      <c r="A22">
        <v>19</v>
      </c>
      <c r="B22" s="228" t="str">
        <f>VLOOKUP(A22,Liegenschaften!$A$4:$AG$43,4,0)</f>
        <v>Kurparktreff (Br)</v>
      </c>
      <c r="C22" s="60">
        <f>VLOOKUP(B22,Liegenschaften!$D$4:$AI$43,4,0)</f>
        <v>1990</v>
      </c>
      <c r="D22" s="60" t="str">
        <f>VLOOKUP(B22,Liegenschaften!$D$4:$AI$43,5,0)</f>
        <v>Erdgas </v>
      </c>
      <c r="E22" s="60" t="str">
        <f>VLOOKUP(B22,Liegenschaften!$D$4:$AI$43,20,0)</f>
        <v>kWh (Gas)</v>
      </c>
      <c r="F22" s="229">
        <f>VLOOKUP(B22,Liegenschaften!$D$4:$AI$43,23,0)</f>
        <v>32464.6</v>
      </c>
      <c r="G22" s="230">
        <f>VLOOKUP(B22,Liegenschaften!$D$4:$AI$43,24,0)</f>
        <v>2921.814</v>
      </c>
      <c r="H22" s="229">
        <f>VLOOKUP(B22,Liegenschaften!$D$4:$AI$43,25,0)</f>
        <v>6492.92</v>
      </c>
      <c r="I22" s="229">
        <f>VLOOKUP(B22,Liegenschaften!$D$4:$AI$43,26,0)</f>
        <v>1352.69166666667</v>
      </c>
      <c r="J22" s="229">
        <f>VLOOKUP(B22,Liegenschaften!$D$4:$AI$43,27,0)</f>
        <v>124.863846153846</v>
      </c>
      <c r="K22" s="60">
        <f>VLOOKUP(B22,Liegenschaften!$D$4:$AI$43,27,0)</f>
        <v>124.863846153846</v>
      </c>
      <c r="L22" s="229" t="str">
        <f>VLOOKUP(B22,Liegenschaften!$D$4:$AI$43,28,0)</f>
        <v>D</v>
      </c>
      <c r="M22" s="231">
        <f>VLOOKUP(B22,Liegenschaften!$D$4:$AI$43,29,0)</f>
        <v>832.425641025641</v>
      </c>
    </row>
    <row r="23" spans="1:13" ht="12.75">
      <c r="A23">
        <v>20</v>
      </c>
      <c r="B23" s="228" t="str">
        <f>VLOOKUP(A23,Liegenschaften!$A$4:$AG$43,4,0)</f>
        <v>Feuerwehrgerätehaus (Ph)</v>
      </c>
      <c r="C23" s="60">
        <f>VLOOKUP(B23,Liegenschaften!$D$4:$AI$43,4,0)</f>
        <v>1993</v>
      </c>
      <c r="D23" s="60" t="str">
        <f>VLOOKUP(B23,Liegenschaften!$D$4:$AI$43,5,0)</f>
        <v>Erdgas</v>
      </c>
      <c r="E23" s="60" t="str">
        <f>VLOOKUP(B23,Liegenschaften!$D$4:$AI$43,20,0)</f>
        <v>kWh (Gas)</v>
      </c>
      <c r="F23" s="229">
        <f>VLOOKUP(B23,Liegenschaften!$D$4:$AI$43,23,0)</f>
        <v>31793.2</v>
      </c>
      <c r="G23" s="230">
        <f>VLOOKUP(B23,Liegenschaften!$D$4:$AI$43,24,0)</f>
        <v>2861.388</v>
      </c>
      <c r="H23" s="229">
        <f>VLOOKUP(B23,Liegenschaften!$D$4:$AI$43,25,0)</f>
        <v>6358.64</v>
      </c>
      <c r="I23" s="229">
        <f>VLOOKUP(B23,Liegenschaften!$D$4:$AI$43,26,0)</f>
        <v>993.5375</v>
      </c>
      <c r="J23" s="229">
        <f>VLOOKUP(B23,Liegenschaften!$D$4:$AI$43,27,0)</f>
        <v>68.965726681128</v>
      </c>
      <c r="K23" s="60">
        <f>VLOOKUP(B23,Liegenschaften!$D$4:$AI$43,27,0)</f>
        <v>68.965726681128</v>
      </c>
      <c r="L23" s="229" t="str">
        <f>VLOOKUP(B23,Liegenschaften!$D$4:$AI$43,28,0)</f>
        <v>B</v>
      </c>
      <c r="M23" s="231">
        <f>VLOOKUP(B23,Liegenschaften!$D$4:$AI$43,29,0)</f>
        <v>68.965726681128</v>
      </c>
    </row>
    <row r="24" spans="1:13" ht="12.75">
      <c r="A24">
        <v>21</v>
      </c>
      <c r="B24" s="228" t="str">
        <f>VLOOKUP(A24,Liegenschaften!$A$4:$AG$43,4,0)</f>
        <v>Haus des Gastes kl. Saal (Br)</v>
      </c>
      <c r="C24" s="60">
        <f>VLOOKUP(B24,Liegenschaften!$D$4:$AI$43,4,0)</f>
        <v>2000</v>
      </c>
      <c r="D24" s="60" t="str">
        <f>VLOOKUP(B24,Liegenschaften!$D$4:$AI$43,5,0)</f>
        <v>Erdgas </v>
      </c>
      <c r="E24" s="60" t="str">
        <f>VLOOKUP(B24,Liegenschaften!$D$4:$AI$43,20,0)</f>
        <v>kWh (Gas)</v>
      </c>
      <c r="F24" s="229">
        <f>VLOOKUP(B24,Liegenschaften!$D$4:$AI$43,23,0)</f>
        <v>24857.4</v>
      </c>
      <c r="G24" s="230">
        <f>VLOOKUP(B24,Liegenschaften!$D$4:$AI$43,24,0)</f>
        <v>2237.166</v>
      </c>
      <c r="H24" s="229">
        <f>VLOOKUP(B24,Liegenschaften!$D$4:$AI$43,25,0)</f>
        <v>4971.48</v>
      </c>
      <c r="I24" s="229">
        <f>VLOOKUP(B24,Liegenschaften!$D$4:$AI$43,26,0)</f>
        <v>637.369230769231</v>
      </c>
      <c r="J24" s="229">
        <f>VLOOKUP(B24,Liegenschaften!$D$4:$AI$43,27,0)</f>
        <v>21.3002570694087</v>
      </c>
      <c r="K24" s="60">
        <f>VLOOKUP(B24,Liegenschaften!$D$4:$AI$43,27,0)</f>
        <v>21.3002570694087</v>
      </c>
      <c r="L24" s="229" t="str">
        <f>VLOOKUP(B24,Liegenschaften!$D$4:$AI$43,28,0)</f>
        <v>A+</v>
      </c>
      <c r="M24" s="231">
        <f>VLOOKUP(B24,Liegenschaften!$D$4:$AI$43,29,0)</f>
        <v>85.201028277635</v>
      </c>
    </row>
    <row r="25" spans="1:13" ht="12.75">
      <c r="A25">
        <v>22</v>
      </c>
      <c r="B25" s="228" t="str">
        <f>VLOOKUP(A25,Liegenschaften!$A$4:$AG$43,4,0)</f>
        <v>Mehrzweckhalle (Ph)</v>
      </c>
      <c r="C25" s="60">
        <f>VLOOKUP(B25,Liegenschaften!$D$4:$AI$43,4,0)</f>
        <v>2012</v>
      </c>
      <c r="D25" s="60" t="str">
        <f>VLOOKUP(B25,Liegenschaften!$D$4:$AI$43,5,0)</f>
        <v>Erdgas</v>
      </c>
      <c r="E25" s="60" t="str">
        <f>VLOOKUP(B25,Liegenschaften!$D$4:$AI$43,20,0)</f>
        <v>kWh (Gas)</v>
      </c>
      <c r="F25" s="229">
        <f>VLOOKUP(B25,Liegenschaften!$D$4:$AI$43,23,0)</f>
        <v>24662.2</v>
      </c>
      <c r="G25" s="230">
        <f>VLOOKUP(B25,Liegenschaften!$D$4:$AI$43,24,0)</f>
        <v>2219.598</v>
      </c>
      <c r="H25" s="229">
        <f>VLOOKUP(B25,Liegenschaften!$D$4:$AI$43,25,0)</f>
        <v>4932.44</v>
      </c>
      <c r="I25" s="229">
        <f>VLOOKUP(B25,Liegenschaften!$D$4:$AI$43,26,0)</f>
        <v>308.2775</v>
      </c>
      <c r="J25" s="229">
        <f>VLOOKUP(B25,Liegenschaften!$D$4:$AI$43,27,0)</f>
        <v>28.8446783625731</v>
      </c>
      <c r="K25" s="60">
        <f>VLOOKUP(B25,Liegenschaften!$D$4:$AI$43,27,0)</f>
        <v>28.8446783625731</v>
      </c>
      <c r="L25" s="229" t="str">
        <f>VLOOKUP(B25,Liegenschaften!$D$4:$AI$43,28,0)</f>
        <v>A+</v>
      </c>
      <c r="M25" s="231">
        <f>VLOOKUP(B25,Liegenschaften!$D$4:$AI$43,29,0)</f>
        <v>57.6893567251462</v>
      </c>
    </row>
    <row r="26" spans="1:13" ht="12.75">
      <c r="A26">
        <v>23</v>
      </c>
      <c r="B26" s="228" t="str">
        <f>VLOOKUP(A26,Liegenschaften!$A$4:$AG$43,4,0)</f>
        <v>Kita Schlossmäuse Neubau (Br)</v>
      </c>
      <c r="C26" s="60">
        <f>VLOOKUP(B26,Liegenschaften!$D$4:$AI$43,4,0)</f>
        <v>2016</v>
      </c>
      <c r="D26" s="60" t="str">
        <f>VLOOKUP(B26,Liegenschaften!$D$4:$AI$43,5,0)</f>
        <v>Luft-Wärme-Pumpe </v>
      </c>
      <c r="E26" s="60" t="str">
        <f>VLOOKUP(B26,Liegenschaften!$D$4:$AI$43,20,0)</f>
        <v>kWh (Strom)</v>
      </c>
      <c r="F26" s="229">
        <f>VLOOKUP(B26,Liegenschaften!$D$4:$AI$43,23,0)</f>
        <v>10875.6</v>
      </c>
      <c r="G26" s="230">
        <f>VLOOKUP(B26,Liegenschaften!$D$4:$AI$43,24,0)</f>
        <v>3262.68</v>
      </c>
      <c r="H26" s="229">
        <f>VLOOKUP(B26,Liegenschaften!$D$4:$AI$43,25,0)</f>
        <v>4350.24</v>
      </c>
      <c r="I26" s="229">
        <f>VLOOKUP(B26,Liegenschaften!$D$4:$AI$43,26,0)</f>
        <v>517.885714285714</v>
      </c>
      <c r="J26" s="229">
        <f>VLOOKUP(B26,Liegenschaften!$D$4:$AI$43,27,0)</f>
        <v>19.4207142857143</v>
      </c>
      <c r="K26" s="60">
        <f>VLOOKUP(B26,Liegenschaften!$D$4:$AI$43,27,0)</f>
        <v>19.4207142857143</v>
      </c>
      <c r="L26" s="229" t="str">
        <f>VLOOKUP(B26,Liegenschaften!$D$4:$AI$43,28,0)</f>
        <v>A+</v>
      </c>
      <c r="M26" s="231">
        <f>VLOOKUP(B26,Liegenschaften!$D$4:$AI$43,29,0)</f>
        <v>20.4428571428571</v>
      </c>
    </row>
    <row r="27" spans="1:13" ht="12.75">
      <c r="A27">
        <v>24</v>
      </c>
      <c r="B27" s="228" t="str">
        <f>VLOOKUP(A27,Liegenschaften!$A$4:$AG$43,4,0)</f>
        <v>Feuerwehrgerätehaus (Ne)</v>
      </c>
      <c r="C27" s="60">
        <f>VLOOKUP(B27,Liegenschaften!$D$4:$AI$43,4,0)</f>
        <v>2009</v>
      </c>
      <c r="D27" s="60" t="str">
        <f>VLOOKUP(B27,Liegenschaften!$D$4:$AI$43,5,0)</f>
        <v>Öl</v>
      </c>
      <c r="E27" s="60" t="str">
        <f>VLOOKUP(B27,Liegenschaften!$D$4:$AI$43,20,0)</f>
        <v>Liter (Öl)</v>
      </c>
      <c r="F27" s="229">
        <f>VLOOKUP(B27,Liegenschaften!$D$4:$AI$43,23,0)</f>
        <v>11250</v>
      </c>
      <c r="G27" s="230">
        <f>VLOOKUP(B27,Liegenschaften!$D$4:$AI$43,24,0)</f>
        <v>1125</v>
      </c>
      <c r="H27" s="229">
        <f>VLOOKUP(B27,Liegenschaften!$D$4:$AI$43,25,0)</f>
        <v>3037.5</v>
      </c>
      <c r="I27" s="229">
        <f>VLOOKUP(B27,Liegenschaften!$D$4:$AI$43,26,0)</f>
        <v>592.105263157895</v>
      </c>
      <c r="J27" s="229">
        <f>VLOOKUP(B27,Liegenschaften!$D$4:$AI$43,27,0)</f>
        <v>40.7608695652174</v>
      </c>
      <c r="K27" s="60">
        <f>VLOOKUP(B27,Liegenschaften!$D$4:$AI$43,27,0)</f>
        <v>40.7608695652174</v>
      </c>
      <c r="L27" s="229" t="str">
        <f>VLOOKUP(B27,Liegenschaften!$D$4:$AI$43,28,0)</f>
        <v>A</v>
      </c>
      <c r="M27" s="231">
        <f>VLOOKUP(B27,Liegenschaften!$D$4:$AI$43,29,0)</f>
        <v>203.804347826087</v>
      </c>
    </row>
    <row r="28" spans="1:13" ht="12.75">
      <c r="A28">
        <v>25</v>
      </c>
      <c r="B28" s="228" t="str">
        <f>VLOOKUP(A28,Liegenschaften!$A$4:$AG$43,4,0)</f>
        <v>Alte Schule m. Wohnungen (Ti)</v>
      </c>
      <c r="C28" s="60">
        <f>VLOOKUP(B28,Liegenschaften!$D$4:$AI$43,4,0)</f>
        <v>2010</v>
      </c>
      <c r="D28" s="60" t="str">
        <f>VLOOKUP(B28,Liegenschaften!$D$4:$AI$43,5,0)</f>
        <v>Pellet </v>
      </c>
      <c r="E28" s="60" t="str">
        <f>VLOOKUP(B28,Liegenschaften!$D$4:$AI$43,20,0)</f>
        <v>kg (Pellets)</v>
      </c>
      <c r="F28" s="229">
        <f>VLOOKUP(B28,Liegenschaften!$D$4:$AI$43,23,0)</f>
        <v>28745.2</v>
      </c>
      <c r="G28" s="230">
        <f>VLOOKUP(B28,Liegenschaften!$D$4:$AI$43,24,0)</f>
        <v>2299.616</v>
      </c>
      <c r="H28" s="229">
        <f>VLOOKUP(B28,Liegenschaften!$D$4:$AI$43,25,0)</f>
        <v>2874.52</v>
      </c>
      <c r="I28" s="229">
        <f>VLOOKUP(B28,Liegenschaften!$D$4:$AI$43,26,0)</f>
        <v>0</v>
      </c>
      <c r="J28" s="229">
        <f>VLOOKUP(B28,Liegenschaften!$D$4:$AI$43,27,0)</f>
        <v>47.9086666666667</v>
      </c>
      <c r="K28" s="60">
        <f>VLOOKUP(B28,Liegenschaften!$D$4:$AI$43,27,0)</f>
        <v>47.9086666666667</v>
      </c>
      <c r="L28" s="229" t="str">
        <f>VLOOKUP(B28,Liegenschaften!$D$4:$AI$43,28,0)</f>
        <v>A</v>
      </c>
      <c r="M28" s="231">
        <f>VLOOKUP(B28,Liegenschaften!$D$4:$AI$43,29,0)</f>
        <v>47.9086666666667</v>
      </c>
    </row>
    <row r="29" spans="1:13" ht="12.75">
      <c r="A29">
        <v>26</v>
      </c>
      <c r="B29" s="228" t="str">
        <f>VLOOKUP(A29,Liegenschaften!$A$4:$AG$43,4,0)</f>
        <v>Wohnung 1 (Br)</v>
      </c>
      <c r="C29" s="60">
        <f>VLOOKUP(B29,Liegenschaften!$D$4:$AI$43,4,0)</f>
        <v>2018</v>
      </c>
      <c r="D29" s="60" t="str">
        <f>VLOOKUP(B29,Liegenschaften!$D$4:$AI$43,5,0)</f>
        <v>Erdgas</v>
      </c>
      <c r="E29" s="60" t="str">
        <f>VLOOKUP(B29,Liegenschaften!$D$4:$AI$43,20,0)</f>
        <v>kWh (Gas)</v>
      </c>
      <c r="F29" s="229">
        <f>VLOOKUP(B29,Liegenschaften!$D$4:$AI$43,23,0)</f>
        <v>14265.6</v>
      </c>
      <c r="G29" s="230">
        <f>VLOOKUP(B29,Liegenschaften!$D$4:$AI$43,24,0)</f>
        <v>1283.904</v>
      </c>
      <c r="H29" s="229">
        <f>VLOOKUP(B29,Liegenschaften!$D$4:$AI$43,25,0)</f>
        <v>2853.12</v>
      </c>
      <c r="I29" s="229">
        <f>VLOOKUP(B29,Liegenschaften!$D$4:$AI$43,26,0)</f>
        <v>1018.97142857143</v>
      </c>
      <c r="J29" s="229">
        <f>VLOOKUP(B29,Liegenschaften!$D$4:$AI$43,27,0)</f>
        <v>135.862857142857</v>
      </c>
      <c r="K29" s="60">
        <f>VLOOKUP(B29,Liegenschaften!$D$4:$AI$43,27,0)</f>
        <v>135.862857142857</v>
      </c>
      <c r="L29" s="229" t="str">
        <f>VLOOKUP(B29,Liegenschaften!$D$4:$AI$43,28,0)</f>
        <v>E</v>
      </c>
      <c r="M29" s="231">
        <f>VLOOKUP(B29,Liegenschaften!$D$4:$AI$43,29,0)</f>
        <v>135.862857142857</v>
      </c>
    </row>
    <row r="30" spans="1:13" ht="12.75">
      <c r="A30">
        <v>27</v>
      </c>
      <c r="B30" s="228" t="str">
        <f>VLOOKUP(A30,Liegenschaften!$A$4:$AG$43,4,0)</f>
        <v>Wohnung 2 (Br)</v>
      </c>
      <c r="C30" s="60">
        <f>VLOOKUP(B30,Liegenschaften!$D$4:$AI$43,4,0)</f>
        <v>2018</v>
      </c>
      <c r="D30" s="60" t="str">
        <f>VLOOKUP(B30,Liegenschaften!$D$4:$AI$43,5,0)</f>
        <v>Erdgas </v>
      </c>
      <c r="E30" s="60" t="str">
        <f>VLOOKUP(B30,Liegenschaften!$D$4:$AI$43,20,0)</f>
        <v>kWh (Gas)</v>
      </c>
      <c r="F30" s="229">
        <f>VLOOKUP(B30,Liegenschaften!$D$4:$AI$43,23,0)</f>
        <v>11354.8</v>
      </c>
      <c r="G30" s="230">
        <f>VLOOKUP(B30,Liegenschaften!$D$4:$AI$43,24,0)</f>
        <v>1021.932</v>
      </c>
      <c r="H30" s="229">
        <f>VLOOKUP(B30,Liegenschaften!$D$4:$AI$43,25,0)</f>
        <v>2270.96</v>
      </c>
      <c r="I30" s="229">
        <f>VLOOKUP(B30,Liegenschaften!$D$4:$AI$43,26,0)</f>
        <v>811.057142857143</v>
      </c>
      <c r="J30" s="229">
        <f>VLOOKUP(B30,Liegenschaften!$D$4:$AI$43,27,0)</f>
        <v>126.164444444444</v>
      </c>
      <c r="K30" s="60">
        <f>VLOOKUP(B30,Liegenschaften!$D$4:$AI$43,27,0)</f>
        <v>126.164444444444</v>
      </c>
      <c r="L30" s="229" t="str">
        <f>VLOOKUP(B30,Liegenschaften!$D$4:$AI$43,28,0)</f>
        <v>D</v>
      </c>
      <c r="M30" s="231">
        <f>VLOOKUP(B30,Liegenschaften!$D$4:$AI$43,29,0)</f>
        <v>126.164444444444</v>
      </c>
    </row>
    <row r="31" spans="1:13" ht="12.75">
      <c r="A31">
        <v>28</v>
      </c>
      <c r="B31" s="228" t="str">
        <f>VLOOKUP(A31,Liegenschaften!$A$4:$AG$43,4,0)</f>
        <v>Wohnung Lange Str. 15 (Al)</v>
      </c>
      <c r="C31" s="60">
        <f>VLOOKUP(B31,Liegenschaften!$D$4:$AI$43,4,0)</f>
        <v>2017</v>
      </c>
      <c r="D31" s="60" t="str">
        <f>VLOOKUP(B31,Liegenschaften!$D$4:$AI$43,5,0)</f>
        <v>Flüssiggas</v>
      </c>
      <c r="E31" s="60" t="str">
        <f>VLOOKUP(B31,Liegenschaften!$D$4:$AI$43,20,0)</f>
        <v>Liter (Fl.gas)</v>
      </c>
      <c r="F31" s="229">
        <f>VLOOKUP(B31,Liegenschaften!$D$4:$AI$43,23,0)</f>
        <v>7557.41626134208</v>
      </c>
      <c r="G31" s="230">
        <f>VLOOKUP(B31,Liegenschaften!$D$4:$AI$43,24,0)</f>
        <v>680.167463520788</v>
      </c>
      <c r="H31" s="229">
        <f>VLOOKUP(B31,Liegenschaften!$D$4:$AI$43,25,0)</f>
        <v>1964.92822794894</v>
      </c>
      <c r="I31" s="229">
        <f>VLOOKUP(B31,Liegenschaften!$D$4:$AI$43,26,0)</f>
        <v>317.538498375718</v>
      </c>
      <c r="J31" s="229">
        <f>VLOOKUP(B31,Liegenschaften!$D$4:$AI$43,27,0)</f>
        <v>72.6674640513662</v>
      </c>
      <c r="K31" s="60">
        <f>VLOOKUP(B31,Liegenschaften!$D$4:$AI$43,27,0)</f>
        <v>72.6674640513662</v>
      </c>
      <c r="L31" s="229" t="str">
        <f>VLOOKUP(B31,Liegenschaften!$D$4:$AI$43,28,0)</f>
        <v>B</v>
      </c>
      <c r="M31" s="231">
        <f>VLOOKUP(B31,Liegenschaften!$D$4:$AI$43,29,0)</f>
        <v>72.6674640513662</v>
      </c>
    </row>
    <row r="32" spans="1:13" ht="12.75">
      <c r="A32">
        <v>29</v>
      </c>
      <c r="B32" s="228" t="e">
        <f>VLOOKUP(A32,Liegenschaften!$A$4:$AG$43,4,0)</f>
        <v>#N/A</v>
      </c>
      <c r="C32" s="60" t="e">
        <f>VLOOKUP(B32,Liegenschaften!$D$4:$AI$43,4,0)</f>
        <v>#N/A</v>
      </c>
      <c r="D32" s="60" t="e">
        <f>VLOOKUP(B32,Liegenschaften!$D$4:$AI$43,5,0)</f>
        <v>#N/A</v>
      </c>
      <c r="E32" s="60" t="e">
        <f>VLOOKUP(B32,Liegenschaften!$D$4:$AI$43,20,0)</f>
        <v>#N/A</v>
      </c>
      <c r="F32" s="229" t="e">
        <f>VLOOKUP(B32,Liegenschaften!$D$4:$AI$43,23,0)</f>
        <v>#N/A</v>
      </c>
      <c r="G32" s="230" t="e">
        <f>VLOOKUP(B32,Liegenschaften!$D$4:$AI$43,24,0)</f>
        <v>#N/A</v>
      </c>
      <c r="H32" s="229" t="e">
        <f>VLOOKUP(B32,Liegenschaften!$D$4:$AI$43,25,0)</f>
        <v>#N/A</v>
      </c>
      <c r="I32" s="229" t="e">
        <f>VLOOKUP(B32,Liegenschaften!$D$4:$AI$43,26,0)</f>
        <v>#N/A</v>
      </c>
      <c r="J32" s="229" t="e">
        <f>VLOOKUP(B32,Liegenschaften!$D$4:$AI$43,27,0)</f>
        <v>#N/A</v>
      </c>
      <c r="K32" s="60" t="e">
        <f>VLOOKUP(B32,Liegenschaften!$D$4:$AI$43,27,0)</f>
        <v>#N/A</v>
      </c>
      <c r="L32" s="229" t="e">
        <f>VLOOKUP(B32,Liegenschaften!$D$4:$AI$43,28,0)</f>
        <v>#N/A</v>
      </c>
      <c r="M32" s="231" t="e">
        <f>VLOOKUP(B32,Liegenschaften!$D$4:$AI$43,29,0)</f>
        <v>#N/A</v>
      </c>
    </row>
    <row r="33" spans="1:13" ht="12.75">
      <c r="A33">
        <v>30</v>
      </c>
      <c r="B33" s="228" t="e">
        <f>VLOOKUP(A33,Liegenschaften!$A$4:$AG$43,4,0)</f>
        <v>#N/A</v>
      </c>
      <c r="C33" s="60" t="e">
        <f>VLOOKUP(B33,Liegenschaften!$D$4:$AI$43,4,0)</f>
        <v>#N/A</v>
      </c>
      <c r="D33" s="60" t="e">
        <f>VLOOKUP(B33,Liegenschaften!$D$4:$AI$43,5,0)</f>
        <v>#N/A</v>
      </c>
      <c r="E33" s="60" t="e">
        <f>VLOOKUP(B33,Liegenschaften!$D$4:$AI$43,20,0)</f>
        <v>#N/A</v>
      </c>
      <c r="F33" s="229" t="e">
        <f>VLOOKUP(B33,Liegenschaften!$D$4:$AI$43,23,0)</f>
        <v>#N/A</v>
      </c>
      <c r="G33" s="230" t="e">
        <f>VLOOKUP(B33,Liegenschaften!$D$4:$AI$43,24,0)</f>
        <v>#N/A</v>
      </c>
      <c r="H33" s="229" t="e">
        <f>VLOOKUP(B33,Liegenschaften!$D$4:$AI$43,25,0)</f>
        <v>#N/A</v>
      </c>
      <c r="I33" s="229" t="e">
        <f>VLOOKUP(B33,Liegenschaften!$D$4:$AI$43,26,0)</f>
        <v>#N/A</v>
      </c>
      <c r="J33" s="229" t="e">
        <f>VLOOKUP(B33,Liegenschaften!$D$4:$AI$43,27,0)</f>
        <v>#N/A</v>
      </c>
      <c r="K33" s="60" t="e">
        <f>VLOOKUP(B33,Liegenschaften!$D$4:$AI$43,27,0)</f>
        <v>#N/A</v>
      </c>
      <c r="L33" s="229" t="e">
        <f>VLOOKUP(B33,Liegenschaften!$D$4:$AI$43,28,0)</f>
        <v>#N/A</v>
      </c>
      <c r="M33" s="231" t="e">
        <f>VLOOKUP(B33,Liegenschaften!$D$4:$AI$43,29,0)</f>
        <v>#N/A</v>
      </c>
    </row>
    <row r="34" spans="1:13" ht="12.75">
      <c r="A34">
        <v>31</v>
      </c>
      <c r="B34" s="228" t="e">
        <f>VLOOKUP(A34,Liegenschaften!$A$4:$AG$43,4,0)</f>
        <v>#N/A</v>
      </c>
      <c r="C34" s="60" t="e">
        <f>VLOOKUP(B34,Liegenschaften!$D$4:$AI$43,4,0)</f>
        <v>#N/A</v>
      </c>
      <c r="D34" s="60" t="e">
        <f>VLOOKUP(B34,Liegenschaften!$D$4:$AI$43,5,0)</f>
        <v>#N/A</v>
      </c>
      <c r="E34" s="60" t="e">
        <f>VLOOKUP(B34,Liegenschaften!$D$4:$AI$43,20,0)</f>
        <v>#N/A</v>
      </c>
      <c r="F34" s="229" t="e">
        <f>VLOOKUP(B34,Liegenschaften!$D$4:$AI$43,23,0)</f>
        <v>#N/A</v>
      </c>
      <c r="G34" s="230" t="e">
        <f>VLOOKUP(B34,Liegenschaften!$D$4:$AI$43,24,0)</f>
        <v>#N/A</v>
      </c>
      <c r="H34" s="229" t="e">
        <f>VLOOKUP(B34,Liegenschaften!$D$4:$AI$43,25,0)</f>
        <v>#N/A</v>
      </c>
      <c r="I34" s="229" t="e">
        <f>VLOOKUP(B34,Liegenschaften!$D$4:$AI$43,26,0)</f>
        <v>#N/A</v>
      </c>
      <c r="J34" s="229" t="e">
        <f>VLOOKUP(B34,Liegenschaften!$D$4:$AI$43,27,0)</f>
        <v>#N/A</v>
      </c>
      <c r="K34" s="60" t="e">
        <f>VLOOKUP(B34,Liegenschaften!$D$4:$AI$43,27,0)</f>
        <v>#N/A</v>
      </c>
      <c r="L34" s="229" t="e">
        <f>VLOOKUP(B34,Liegenschaften!$D$4:$AI$43,28,0)</f>
        <v>#N/A</v>
      </c>
      <c r="M34" s="231" t="e">
        <f>VLOOKUP(B34,Liegenschaften!$D$4:$AI$43,29,0)</f>
        <v>#N/A</v>
      </c>
    </row>
    <row r="35" spans="1:13" ht="12.75">
      <c r="A35">
        <v>32</v>
      </c>
      <c r="B35" s="228" t="e">
        <f>VLOOKUP(A35,Liegenschaften!$A$4:$AG$43,4,0)</f>
        <v>#N/A</v>
      </c>
      <c r="C35" s="60" t="e">
        <f>VLOOKUP(B35,Liegenschaften!$D$4:$AI$43,4,0)</f>
        <v>#N/A</v>
      </c>
      <c r="D35" s="60" t="e">
        <f>VLOOKUP(B35,Liegenschaften!$D$4:$AI$43,5,0)</f>
        <v>#N/A</v>
      </c>
      <c r="E35" s="60" t="e">
        <f>VLOOKUP(B35,Liegenschaften!$D$4:$AI$43,20,0)</f>
        <v>#N/A</v>
      </c>
      <c r="F35" s="229" t="e">
        <f>VLOOKUP(B35,Liegenschaften!$D$4:$AI$43,23,0)</f>
        <v>#N/A</v>
      </c>
      <c r="G35" s="230" t="e">
        <f>VLOOKUP(B35,Liegenschaften!$D$4:$AI$43,24,0)</f>
        <v>#N/A</v>
      </c>
      <c r="H35" s="229" t="e">
        <f>VLOOKUP(B35,Liegenschaften!$D$4:$AI$43,25,0)</f>
        <v>#N/A</v>
      </c>
      <c r="I35" s="229" t="e">
        <f>VLOOKUP(B35,Liegenschaften!$D$4:$AI$43,26,0)</f>
        <v>#N/A</v>
      </c>
      <c r="J35" s="229" t="e">
        <f>VLOOKUP(B35,Liegenschaften!$D$4:$AI$43,27,0)</f>
        <v>#N/A</v>
      </c>
      <c r="K35" s="60" t="e">
        <f>VLOOKUP(B35,Liegenschaften!$D$4:$AI$43,27,0)</f>
        <v>#N/A</v>
      </c>
      <c r="L35" s="229" t="e">
        <f>VLOOKUP(B35,Liegenschaften!$D$4:$AI$43,28,0)</f>
        <v>#N/A</v>
      </c>
      <c r="M35" s="231" t="e">
        <f>VLOOKUP(B35,Liegenschaften!$D$4:$AI$43,29,0)</f>
        <v>#N/A</v>
      </c>
    </row>
    <row r="36" spans="1:13" ht="12.75">
      <c r="A36">
        <v>33</v>
      </c>
      <c r="B36" s="228" t="e">
        <f>VLOOKUP(A36,Liegenschaften!$A$4:$AG$43,4,0)</f>
        <v>#N/A</v>
      </c>
      <c r="C36" s="60" t="e">
        <f>VLOOKUP(B36,Liegenschaften!$D$4:$AI$43,4,0)</f>
        <v>#N/A</v>
      </c>
      <c r="D36" s="60" t="e">
        <f>VLOOKUP(B36,Liegenschaften!$D$4:$AI$43,5,0)</f>
        <v>#N/A</v>
      </c>
      <c r="E36" s="60" t="e">
        <f>VLOOKUP(B36,Liegenschaften!$D$4:$AI$43,20,0)</f>
        <v>#N/A</v>
      </c>
      <c r="F36" s="229" t="e">
        <f>VLOOKUP(B36,Liegenschaften!$D$4:$AI$43,23,0)</f>
        <v>#N/A</v>
      </c>
      <c r="G36" s="230" t="e">
        <f>VLOOKUP(B36,Liegenschaften!$D$4:$AI$43,24,0)</f>
        <v>#N/A</v>
      </c>
      <c r="H36" s="229" t="e">
        <f>VLOOKUP(B36,Liegenschaften!$D$4:$AI$43,25,0)</f>
        <v>#N/A</v>
      </c>
      <c r="I36" s="229" t="e">
        <f>VLOOKUP(B36,Liegenschaften!$D$4:$AI$43,26,0)</f>
        <v>#N/A</v>
      </c>
      <c r="J36" s="229" t="e">
        <f>VLOOKUP(B36,Liegenschaften!$D$4:$AI$43,27,0)</f>
        <v>#N/A</v>
      </c>
      <c r="K36" s="60" t="e">
        <f>VLOOKUP(B36,Liegenschaften!$D$4:$AI$43,27,0)</f>
        <v>#N/A</v>
      </c>
      <c r="L36" s="229" t="e">
        <f>VLOOKUP(B36,Liegenschaften!$D$4:$AI$43,28,0)</f>
        <v>#N/A</v>
      </c>
      <c r="M36" s="231" t="e">
        <f>VLOOKUP(B36,Liegenschaften!$D$4:$AI$43,29,0)</f>
        <v>#N/A</v>
      </c>
    </row>
    <row r="37" spans="1:13" ht="12.75">
      <c r="A37">
        <v>34</v>
      </c>
      <c r="B37" s="228" t="e">
        <f>VLOOKUP(A37,Liegenschaften!$A$4:$AG$43,4,0)</f>
        <v>#N/A</v>
      </c>
      <c r="C37" s="60" t="e">
        <f>VLOOKUP(B37,Liegenschaften!$D$4:$AI$43,4,0)</f>
        <v>#N/A</v>
      </c>
      <c r="D37" s="60" t="e">
        <f>VLOOKUP(B37,Liegenschaften!$D$4:$AI$43,5,0)</f>
        <v>#N/A</v>
      </c>
      <c r="E37" s="60" t="e">
        <f>VLOOKUP(B37,Liegenschaften!$D$4:$AI$43,20,0)</f>
        <v>#N/A</v>
      </c>
      <c r="F37" s="229" t="e">
        <f>VLOOKUP(B37,Liegenschaften!$D$4:$AI$43,23,0)</f>
        <v>#N/A</v>
      </c>
      <c r="G37" s="230" t="e">
        <f>VLOOKUP(B37,Liegenschaften!$D$4:$AI$43,24,0)</f>
        <v>#N/A</v>
      </c>
      <c r="H37" s="229" t="e">
        <f>VLOOKUP(B37,Liegenschaften!$D$4:$AI$43,25,0)</f>
        <v>#N/A</v>
      </c>
      <c r="I37" s="229" t="e">
        <f>VLOOKUP(B37,Liegenschaften!$D$4:$AI$43,26,0)</f>
        <v>#N/A</v>
      </c>
      <c r="J37" s="229" t="e">
        <f>VLOOKUP(B37,Liegenschaften!$D$4:$AI$43,27,0)</f>
        <v>#N/A</v>
      </c>
      <c r="K37" s="60" t="e">
        <f>VLOOKUP(B37,Liegenschaften!$D$4:$AI$43,27,0)</f>
        <v>#N/A</v>
      </c>
      <c r="L37" s="229" t="e">
        <f>VLOOKUP(B37,Liegenschaften!$D$4:$AI$43,28,0)</f>
        <v>#N/A</v>
      </c>
      <c r="M37" s="231" t="e">
        <f>VLOOKUP(B37,Liegenschaften!$D$4:$AI$43,29,0)</f>
        <v>#N/A</v>
      </c>
    </row>
    <row r="38" spans="1:13" ht="12.75">
      <c r="A38">
        <v>35</v>
      </c>
      <c r="B38" s="228" t="e">
        <f>VLOOKUP(A38,Liegenschaften!$A$4:$AG$43,4,0)</f>
        <v>#N/A</v>
      </c>
      <c r="C38" s="60" t="e">
        <f>VLOOKUP(B38,Liegenschaften!$D$4:$AI$43,4,0)</f>
        <v>#N/A</v>
      </c>
      <c r="D38" s="60" t="e">
        <f>VLOOKUP(B38,Liegenschaften!$D$4:$AI$43,5,0)</f>
        <v>#N/A</v>
      </c>
      <c r="E38" s="60" t="e">
        <f>VLOOKUP(B38,Liegenschaften!$D$4:$AI$43,20,0)</f>
        <v>#N/A</v>
      </c>
      <c r="F38" s="229" t="e">
        <f>VLOOKUP(B38,Liegenschaften!$D$4:$AI$43,23,0)</f>
        <v>#N/A</v>
      </c>
      <c r="G38" s="230" t="e">
        <f>VLOOKUP(B38,Liegenschaften!$D$4:$AI$43,24,0)</f>
        <v>#N/A</v>
      </c>
      <c r="H38" s="229" t="e">
        <f>VLOOKUP(B38,Liegenschaften!$D$4:$AI$43,25,0)</f>
        <v>#N/A</v>
      </c>
      <c r="I38" s="229" t="e">
        <f>VLOOKUP(B38,Liegenschaften!$D$4:$AI$43,26,0)</f>
        <v>#N/A</v>
      </c>
      <c r="J38" s="229" t="e">
        <f>VLOOKUP(B38,Liegenschaften!$D$4:$AI$43,27,0)</f>
        <v>#N/A</v>
      </c>
      <c r="K38" s="60" t="e">
        <f>VLOOKUP(B38,Liegenschaften!$D$4:$AI$43,27,0)</f>
        <v>#N/A</v>
      </c>
      <c r="L38" s="229" t="e">
        <f>VLOOKUP(B38,Liegenschaften!$D$4:$AI$43,28,0)</f>
        <v>#N/A</v>
      </c>
      <c r="M38" s="231" t="e">
        <f>VLOOKUP(B38,Liegenschaften!$D$4:$AI$43,29,0)</f>
        <v>#N/A</v>
      </c>
    </row>
    <row r="39" spans="1:13" ht="12.75">
      <c r="A39">
        <v>36</v>
      </c>
      <c r="B39" s="228" t="e">
        <f>VLOOKUP(A39,Liegenschaften!$A$4:$AG$43,4,0)</f>
        <v>#N/A</v>
      </c>
      <c r="C39" s="60" t="e">
        <f>VLOOKUP(B39,Liegenschaften!$D$4:$AI$43,4,0)</f>
        <v>#N/A</v>
      </c>
      <c r="D39" s="60" t="e">
        <f>VLOOKUP(B39,Liegenschaften!$D$4:$AI$43,5,0)</f>
        <v>#N/A</v>
      </c>
      <c r="E39" s="60" t="e">
        <f>VLOOKUP(B39,Liegenschaften!$D$4:$AI$43,20,0)</f>
        <v>#N/A</v>
      </c>
      <c r="F39" s="229" t="e">
        <f>VLOOKUP(B39,Liegenschaften!$D$4:$AI$43,23,0)</f>
        <v>#N/A</v>
      </c>
      <c r="G39" s="230" t="e">
        <f>VLOOKUP(B39,Liegenschaften!$D$4:$AI$43,24,0)</f>
        <v>#N/A</v>
      </c>
      <c r="H39" s="229" t="e">
        <f>VLOOKUP(B39,Liegenschaften!$D$4:$AI$43,25,0)</f>
        <v>#N/A</v>
      </c>
      <c r="I39" s="229" t="e">
        <f>VLOOKUP(B39,Liegenschaften!$D$4:$AI$43,26,0)</f>
        <v>#N/A</v>
      </c>
      <c r="J39" s="229" t="e">
        <f>VLOOKUP(B39,Liegenschaften!$D$4:$AI$43,27,0)</f>
        <v>#N/A</v>
      </c>
      <c r="K39" s="60" t="e">
        <f>VLOOKUP(B39,Liegenschaften!$D$4:$AI$43,27,0)</f>
        <v>#N/A</v>
      </c>
      <c r="L39" s="229" t="e">
        <f>VLOOKUP(B39,Liegenschaften!$D$4:$AI$43,28,0)</f>
        <v>#N/A</v>
      </c>
      <c r="M39" s="231" t="e">
        <f>VLOOKUP(B39,Liegenschaften!$D$4:$AI$43,29,0)</f>
        <v>#N/A</v>
      </c>
    </row>
    <row r="40" spans="1:13" ht="12.75">
      <c r="A40">
        <v>37</v>
      </c>
      <c r="B40" s="228" t="e">
        <f>VLOOKUP(A40,Liegenschaften!$A$4:$AG$43,4,0)</f>
        <v>#N/A</v>
      </c>
      <c r="C40" s="60" t="e">
        <f>VLOOKUP(B40,Liegenschaften!$D$4:$AI$43,4,0)</f>
        <v>#N/A</v>
      </c>
      <c r="D40" s="60" t="e">
        <f>VLOOKUP(B40,Liegenschaften!$D$4:$AI$43,5,0)</f>
        <v>#N/A</v>
      </c>
      <c r="E40" s="60" t="e">
        <f>VLOOKUP(B40,Liegenschaften!$D$4:$AI$43,20,0)</f>
        <v>#N/A</v>
      </c>
      <c r="F40" s="229" t="e">
        <f>VLOOKUP(B40,Liegenschaften!$D$4:$AI$43,23,0)</f>
        <v>#N/A</v>
      </c>
      <c r="G40" s="230" t="e">
        <f>VLOOKUP(B40,Liegenschaften!$D$4:$AI$43,24,0)</f>
        <v>#N/A</v>
      </c>
      <c r="H40" s="229" t="e">
        <f>VLOOKUP(B40,Liegenschaften!$D$4:$AI$43,25,0)</f>
        <v>#N/A</v>
      </c>
      <c r="I40" s="229" t="e">
        <f>VLOOKUP(B40,Liegenschaften!$D$4:$AI$43,26,0)</f>
        <v>#N/A</v>
      </c>
      <c r="J40" s="229" t="e">
        <f>VLOOKUP(B40,Liegenschaften!$D$4:$AI$43,27,0)</f>
        <v>#N/A</v>
      </c>
      <c r="K40" s="60" t="e">
        <f>VLOOKUP(B40,Liegenschaften!$D$4:$AI$43,27,0)</f>
        <v>#N/A</v>
      </c>
      <c r="L40" s="229" t="e">
        <f>VLOOKUP(B40,Liegenschaften!$D$4:$AI$43,28,0)</f>
        <v>#N/A</v>
      </c>
      <c r="M40" s="231" t="e">
        <f>VLOOKUP(B40,Liegenschaften!$D$4:$AI$43,29,0)</f>
        <v>#N/A</v>
      </c>
    </row>
    <row r="41" spans="1:13" ht="12.75">
      <c r="A41">
        <v>38</v>
      </c>
      <c r="B41" s="228" t="e">
        <f>VLOOKUP(A41,Liegenschaften!$A$4:$AG$43,4,0)</f>
        <v>#N/A</v>
      </c>
      <c r="C41" s="60" t="e">
        <f>VLOOKUP(B41,Liegenschaften!$D$4:$AI$43,4,0)</f>
        <v>#N/A</v>
      </c>
      <c r="D41" s="60" t="e">
        <f>VLOOKUP(B41,Liegenschaften!$D$4:$AI$43,5,0)</f>
        <v>#N/A</v>
      </c>
      <c r="E41" s="60" t="e">
        <f>VLOOKUP(B41,Liegenschaften!$D$4:$AI$43,20,0)</f>
        <v>#N/A</v>
      </c>
      <c r="F41" s="229" t="e">
        <f>VLOOKUP(B41,Liegenschaften!$D$4:$AI$43,23,0)</f>
        <v>#N/A</v>
      </c>
      <c r="G41" s="230" t="e">
        <f>VLOOKUP(B41,Liegenschaften!$D$4:$AI$43,24,0)</f>
        <v>#N/A</v>
      </c>
      <c r="H41" s="229" t="e">
        <f>VLOOKUP(B41,Liegenschaften!$D$4:$AI$43,25,0)</f>
        <v>#N/A</v>
      </c>
      <c r="I41" s="229" t="e">
        <f>VLOOKUP(B41,Liegenschaften!$D$4:$AI$43,26,0)</f>
        <v>#N/A</v>
      </c>
      <c r="J41" s="229" t="e">
        <f>VLOOKUP(B41,Liegenschaften!$D$4:$AI$43,27,0)</f>
        <v>#N/A</v>
      </c>
      <c r="K41" s="60" t="e">
        <f>VLOOKUP(B41,Liegenschaften!$D$4:$AI$43,27,0)</f>
        <v>#N/A</v>
      </c>
      <c r="L41" s="229" t="e">
        <f>VLOOKUP(B41,Liegenschaften!$D$4:$AI$43,28,0)</f>
        <v>#N/A</v>
      </c>
      <c r="M41" s="231" t="e">
        <f>VLOOKUP(B41,Liegenschaften!$D$4:$AI$43,29,0)</f>
        <v>#N/A</v>
      </c>
    </row>
    <row r="42" spans="1:13" ht="12.75">
      <c r="A42">
        <v>39</v>
      </c>
      <c r="B42" s="228" t="e">
        <f>VLOOKUP(A42,Liegenschaften!$A$4:$AG$43,4,0)</f>
        <v>#N/A</v>
      </c>
      <c r="C42" s="60" t="e">
        <f>VLOOKUP(B42,Liegenschaften!$D$4:$AI$43,4,0)</f>
        <v>#N/A</v>
      </c>
      <c r="D42" s="60" t="e">
        <f>VLOOKUP(B42,Liegenschaften!$D$4:$AI$43,5,0)</f>
        <v>#N/A</v>
      </c>
      <c r="E42" s="60" t="e">
        <f>VLOOKUP(B42,Liegenschaften!$D$4:$AI$43,20,0)</f>
        <v>#N/A</v>
      </c>
      <c r="F42" s="229" t="e">
        <f>VLOOKUP(B42,Liegenschaften!$D$4:$AI$43,23,0)</f>
        <v>#N/A</v>
      </c>
      <c r="G42" s="230" t="e">
        <f>VLOOKUP(B42,Liegenschaften!$D$4:$AI$43,24,0)</f>
        <v>#N/A</v>
      </c>
      <c r="H42" s="229" t="e">
        <f>VLOOKUP(B42,Liegenschaften!$D$4:$AI$43,25,0)</f>
        <v>#N/A</v>
      </c>
      <c r="I42" s="229" t="e">
        <f>VLOOKUP(B42,Liegenschaften!$D$4:$AI$43,26,0)</f>
        <v>#N/A</v>
      </c>
      <c r="J42" s="229" t="e">
        <f>VLOOKUP(B42,Liegenschaften!$D$4:$AI$43,27,0)</f>
        <v>#N/A</v>
      </c>
      <c r="K42" s="60" t="e">
        <f>VLOOKUP(B42,Liegenschaften!$D$4:$AI$43,27,0)</f>
        <v>#N/A</v>
      </c>
      <c r="L42" s="229" t="e">
        <f>VLOOKUP(B42,Liegenschaften!$D$4:$AI$43,28,0)</f>
        <v>#N/A</v>
      </c>
      <c r="M42" s="231" t="e">
        <f>VLOOKUP(B42,Liegenschaften!$D$4:$AI$43,29,0)</f>
        <v>#N/A</v>
      </c>
    </row>
    <row r="43" spans="1:13" ht="12.8">
      <c r="A43">
        <v>40</v>
      </c>
      <c r="B43" s="232" t="e">
        <f>VLOOKUP(A43,Liegenschaften!$A$4:$AG$43,4,0)</f>
        <v>#N/A</v>
      </c>
      <c r="C43" s="233" t="e">
        <f>VLOOKUP(B43,Liegenschaften!$D$4:$AI$43,4,0)</f>
        <v>#N/A</v>
      </c>
      <c r="D43" s="233" t="e">
        <f>VLOOKUP(B43,Liegenschaften!$D$4:$AI$43,5,0)</f>
        <v>#N/A</v>
      </c>
      <c r="E43" s="233" t="e">
        <f>VLOOKUP(B43,Liegenschaften!$D$4:$AI$43,20,0)</f>
        <v>#N/A</v>
      </c>
      <c r="F43" s="234" t="e">
        <f>VLOOKUP(B43,Liegenschaften!$D$4:$AI$43,23,0)</f>
        <v>#N/A</v>
      </c>
      <c r="G43" s="235" t="e">
        <f>VLOOKUP(B43,Liegenschaften!$D$4:$AI$43,24,0)</f>
        <v>#N/A</v>
      </c>
      <c r="H43" s="234" t="e">
        <f>VLOOKUP(B43,Liegenschaften!$D$4:$AI$43,25,0)</f>
        <v>#N/A</v>
      </c>
      <c r="I43" s="234" t="e">
        <f>VLOOKUP(B43,Liegenschaften!$D$4:$AI$43,26,0)</f>
        <v>#N/A</v>
      </c>
      <c r="J43" s="234" t="e">
        <f>VLOOKUP(B43,Liegenschaften!$D$4:$AI$43,27,0)</f>
        <v>#N/A</v>
      </c>
      <c r="K43" s="233" t="e">
        <f>VLOOKUP(B43,Liegenschaften!$D$4:$AI$43,27,0)</f>
        <v>#N/A</v>
      </c>
      <c r="L43" s="234" t="e">
        <f>VLOOKUP(B43,Liegenschaften!$D$4:$AI$43,28,0)</f>
        <v>#N/A</v>
      </c>
      <c r="M43" s="236" t="e">
        <f>VLOOKUP(B43,Liegenschaften!$D$4:$AI$43,29,0)</f>
        <v>#N/A</v>
      </c>
    </row>
    <row r="44" spans="2:10" ht="12.75">
      <c r="B44" t="s">
        <v>382</v>
      </c>
      <c r="F44">
        <v>300000</v>
      </c>
      <c r="H44">
        <v>10000</v>
      </c>
      <c r="I44">
        <v>20000</v>
      </c>
      <c r="J44">
        <v>5000</v>
      </c>
    </row>
    <row r="46" spans="2:4" ht="18.75">
      <c r="B46" s="20" t="s">
        <v>383</v>
      </c>
      <c r="C46" s="65"/>
      <c r="D46" s="66"/>
    </row>
    <row r="47" spans="2:13" ht="60">
      <c r="B47" s="223" t="s">
        <v>378</v>
      </c>
      <c r="C47" s="224" t="s">
        <v>379</v>
      </c>
      <c r="D47" s="225" t="s">
        <v>146</v>
      </c>
      <c r="E47" s="226" t="s">
        <v>161</v>
      </c>
      <c r="F47" s="226" t="s">
        <v>164</v>
      </c>
      <c r="G47" s="226" t="s">
        <v>380</v>
      </c>
      <c r="H47" s="226" t="s">
        <v>166</v>
      </c>
      <c r="I47" s="226" t="s">
        <v>381</v>
      </c>
      <c r="J47" s="226" t="s">
        <v>168</v>
      </c>
      <c r="K47" s="226" t="s">
        <v>169</v>
      </c>
      <c r="L47" s="226" t="s">
        <v>170</v>
      </c>
      <c r="M47" s="227" t="s">
        <v>171</v>
      </c>
    </row>
    <row r="48" spans="1:13" ht="12.75">
      <c r="A48">
        <v>1</v>
      </c>
      <c r="B48" s="228" t="str">
        <f>VLOOKUP(A48,Liegenschaften!$B$4:$AG$43,3,0)</f>
        <v>Stadtverwaltung  m. Feuerwehr (Br)</v>
      </c>
      <c r="C48" s="60">
        <f>VLOOKUP(B48,Liegenschaften!$D$4:$AI$43,4,0)</f>
        <v>2000</v>
      </c>
      <c r="D48" s="60" t="str">
        <f>VLOOKUP(B48,Liegenschaften!$D$4:$AI$43,5,0)</f>
        <v>Erdgas</v>
      </c>
      <c r="E48" s="60" t="str">
        <f>VLOOKUP(B48,Liegenschaften!$D$4:$AI$43,20,0)</f>
        <v>kWh (Gas)</v>
      </c>
      <c r="F48" s="229">
        <f>VLOOKUP(B48,Liegenschaften!$D$4:$AI$43,23,0)</f>
        <v>302785.8</v>
      </c>
      <c r="G48" s="230">
        <f>VLOOKUP(B48,Liegenschaften!$D$4:$AI$43,24,0)</f>
        <v>27250.722</v>
      </c>
      <c r="H48" s="229">
        <f>VLOOKUP(B48,Liegenschaften!$D$4:$AI$43,25,0)</f>
        <v>60557.16</v>
      </c>
      <c r="I48" s="229">
        <f>VLOOKUP(B48,Liegenschaften!$D$4:$AI$43,26,0)</f>
        <v>890.546470588235</v>
      </c>
      <c r="J48" s="229">
        <f>VLOOKUP(B48,Liegenschaften!$D$4:$AI$43,27,0)</f>
        <v>125.481060920017</v>
      </c>
      <c r="K48" s="60">
        <f>VLOOKUP(B48,Liegenschaften!$D$4:$AI$43,27,0)</f>
        <v>125.481060920017</v>
      </c>
      <c r="L48" s="229" t="str">
        <f>VLOOKUP(B48,Liegenschaften!$D$4:$AI$43,28,0)</f>
        <v>D</v>
      </c>
      <c r="M48" s="231">
        <f>VLOOKUP(B48,Liegenschaften!$D$4:$AI$43,29,0)</f>
        <v>125.481060920017</v>
      </c>
    </row>
    <row r="49" spans="1:13" ht="12.75">
      <c r="A49">
        <v>2</v>
      </c>
      <c r="B49" s="228" t="str">
        <f>VLOOKUP(A49,Liegenschaften!$B$4:$AG$43,3,0)</f>
        <v>Haus des Gastes, Seminargebäude (Br)</v>
      </c>
      <c r="C49" s="60" t="str">
        <f>VLOOKUP(B49,Liegenschaften!$D$4:$AI$43,4,0)</f>
        <v>1991/
1993</v>
      </c>
      <c r="D49" s="60" t="str">
        <f>VLOOKUP(B49,Liegenschaften!$D$4:$AI$43,5,0)</f>
        <v>Erdgas</v>
      </c>
      <c r="E49" s="60" t="str">
        <f>VLOOKUP(B49,Liegenschaften!$D$4:$AI$43,20,0)</f>
        <v>kWh (Gas)</v>
      </c>
      <c r="F49" s="229">
        <f>VLOOKUP(B49,Liegenschaften!$D$4:$AI$43,23,0)</f>
        <v>256518.6</v>
      </c>
      <c r="G49" s="230">
        <f>VLOOKUP(B49,Liegenschaften!$D$4:$AI$43,24,0)</f>
        <v>23086.674</v>
      </c>
      <c r="H49" s="229">
        <f>VLOOKUP(B49,Liegenschaften!$D$4:$AI$43,25,0)</f>
        <v>51303.72</v>
      </c>
      <c r="I49" s="229">
        <f>VLOOKUP(B49,Liegenschaften!$D$4:$AI$43,26,0)</f>
        <v>791.235657001851</v>
      </c>
      <c r="J49" s="229">
        <f>VLOOKUP(B49,Liegenschaften!$D$4:$AI$43,27,0)</f>
        <v>158.540543881335</v>
      </c>
      <c r="K49" s="60">
        <f>VLOOKUP(B49,Liegenschaften!$D$4:$AI$43,27,0)</f>
        <v>158.540543881335</v>
      </c>
      <c r="L49" s="229" t="str">
        <f>VLOOKUP(B49,Liegenschaften!$D$4:$AI$43,28,0)</f>
        <v>E</v>
      </c>
      <c r="M49" s="231">
        <f>VLOOKUP(B49,Liegenschaften!$D$4:$AI$43,29,0)</f>
        <v>634.16217552534</v>
      </c>
    </row>
    <row r="50" spans="1:13" ht="12.75">
      <c r="A50">
        <v>3</v>
      </c>
      <c r="B50" s="228" t="str">
        <f>VLOOKUP(A50,Liegenschaften!$B$4:$AG$43,3,0)</f>
        <v>MZH (Ti)</v>
      </c>
      <c r="C50" s="60">
        <f>VLOOKUP(B50,Liegenschaften!$D$4:$AI$43,4,0)</f>
        <v>2018</v>
      </c>
      <c r="D50" s="60" t="str">
        <f>VLOOKUP(B50,Liegenschaften!$D$4:$AI$43,5,0)</f>
        <v>Öl</v>
      </c>
      <c r="E50" s="60" t="str">
        <f>VLOOKUP(B50,Liegenschaften!$D$4:$AI$43,20,0)</f>
        <v>Liter (Öl)</v>
      </c>
      <c r="F50" s="229">
        <f>VLOOKUP(B50,Liegenschaften!$D$4:$AI$43,23,0)</f>
        <v>115458</v>
      </c>
      <c r="G50" s="230">
        <f>VLOOKUP(B50,Liegenschaften!$D$4:$AI$43,24,0)</f>
        <v>11545.8</v>
      </c>
      <c r="H50" s="229">
        <f>VLOOKUP(B50,Liegenschaften!$D$4:$AI$43,25,0)</f>
        <v>31173.66</v>
      </c>
      <c r="I50" s="229">
        <f>VLOOKUP(B50,Liegenschaften!$D$4:$AI$43,26,0)</f>
        <v>796.262068965517</v>
      </c>
      <c r="J50" s="229">
        <f>VLOOKUP(B50,Liegenschaften!$D$4:$AI$43,27,0)</f>
        <v>192.109816971714</v>
      </c>
      <c r="K50" s="60">
        <f>VLOOKUP(B50,Liegenschaften!$D$4:$AI$43,27,0)</f>
        <v>192.109816971714</v>
      </c>
      <c r="L50" s="229" t="str">
        <f>VLOOKUP(B50,Liegenschaften!$D$4:$AI$43,28,0)</f>
        <v>F</v>
      </c>
      <c r="M50" s="231">
        <f>VLOOKUP(B50,Liegenschaften!$D$4:$AI$43,29,0)</f>
        <v>768.439267886855</v>
      </c>
    </row>
    <row r="51" spans="1:13" ht="12.75">
      <c r="A51">
        <v>4</v>
      </c>
      <c r="B51" s="228" t="str">
        <f>VLOOKUP(A51,Liegenschaften!$B$4:$AG$43,3,0)</f>
        <v>Stadtmuseum (Br)</v>
      </c>
      <c r="C51" s="60">
        <f>VLOOKUP(B51,Liegenschaften!$D$4:$AI$43,4,0)</f>
        <v>2009</v>
      </c>
      <c r="D51" s="60" t="str">
        <f>VLOOKUP(B51,Liegenschaften!$D$4:$AI$43,5,0)</f>
        <v>Erdgas</v>
      </c>
      <c r="E51" s="60" t="str">
        <f>VLOOKUP(B51,Liegenschaften!$D$4:$AI$43,20,0)</f>
        <v>kWh (Gas)</v>
      </c>
      <c r="F51" s="229">
        <f>VLOOKUP(B51,Liegenschaften!$D$4:$AI$43,23,0)</f>
        <v>102742.6</v>
      </c>
      <c r="G51" s="230">
        <f>VLOOKUP(B51,Liegenschaften!$D$4:$AI$43,24,0)</f>
        <v>9246.834</v>
      </c>
      <c r="H51" s="229">
        <f>VLOOKUP(B51,Liegenschaften!$D$4:$AI$43,25,0)</f>
        <v>20548.52</v>
      </c>
      <c r="I51" s="229">
        <f>VLOOKUP(B51,Liegenschaften!$D$4:$AI$43,26,0)</f>
        <v>3848.03745318352</v>
      </c>
      <c r="J51" s="229">
        <f>VLOOKUP(B51,Liegenschaften!$D$4:$AI$43,27,0)</f>
        <v>303.972189349112</v>
      </c>
      <c r="K51" s="60">
        <f>VLOOKUP(B51,Liegenschaften!$D$4:$AI$43,27,0)</f>
        <v>303.972189349112</v>
      </c>
      <c r="L51" s="229" t="str">
        <f>VLOOKUP(B51,Liegenschaften!$D$4:$AI$43,28,0)</f>
        <v>H</v>
      </c>
      <c r="M51" s="231">
        <f>VLOOKUP(B51,Liegenschaften!$D$4:$AI$43,29,0)</f>
        <v>303.972189349112</v>
      </c>
    </row>
    <row r="52" spans="1:13" ht="12.75">
      <c r="A52">
        <v>5</v>
      </c>
      <c r="B52" s="228" t="str">
        <f>VLOOKUP(A52,Liegenschaften!$B$4:$AG$43,3,0)</f>
        <v>Kita Schlossmäuse Altbau (Br)</v>
      </c>
      <c r="C52" s="60">
        <f>VLOOKUP(B52,Liegenschaften!$D$4:$AI$43,4,0)</f>
        <v>2017</v>
      </c>
      <c r="D52" s="60" t="str">
        <f>VLOOKUP(B52,Liegenschaften!$D$4:$AI$43,5,0)</f>
        <v>Erdgas </v>
      </c>
      <c r="E52" s="60" t="str">
        <f>VLOOKUP(B52,Liegenschaften!$D$4:$AI$43,20,0)</f>
        <v>kWh (Gas)</v>
      </c>
      <c r="F52" s="229">
        <f>VLOOKUP(B52,Liegenschaften!$D$4:$AI$43,23,0)</f>
        <v>94484</v>
      </c>
      <c r="G52" s="230">
        <f>VLOOKUP(B52,Liegenschaften!$D$4:$AI$43,24,0)</f>
        <v>8503.56</v>
      </c>
      <c r="H52" s="229">
        <f>VLOOKUP(B52,Liegenschaften!$D$4:$AI$43,25,0)</f>
        <v>18896.8</v>
      </c>
      <c r="I52" s="229">
        <f>VLOOKUP(B52,Liegenschaften!$D$4:$AI$43,26,0)</f>
        <v>1453.6</v>
      </c>
      <c r="J52" s="229">
        <f>VLOOKUP(B52,Liegenschaften!$D$4:$AI$43,27,0)</f>
        <v>128.375</v>
      </c>
      <c r="K52" s="60">
        <f>VLOOKUP(B52,Liegenschaften!$D$4:$AI$43,27,0)</f>
        <v>128.375</v>
      </c>
      <c r="L52" s="229" t="str">
        <f>VLOOKUP(B52,Liegenschaften!$D$4:$AI$43,28,0)</f>
        <v>D</v>
      </c>
      <c r="M52" s="231">
        <f>VLOOKUP(B52,Liegenschaften!$D$4:$AI$43,29,0)</f>
        <v>135.131578947368</v>
      </c>
    </row>
    <row r="53" spans="1:13" ht="12.75">
      <c r="A53">
        <v>6</v>
      </c>
      <c r="B53" s="228" t="str">
        <f>VLOOKUP(A53,Liegenschaften!$B$4:$AG$43,3,0)</f>
        <v>Bauhof Werkstatt (Br)</v>
      </c>
      <c r="C53" s="60">
        <f>VLOOKUP(B53,Liegenschaften!$D$4:$AI$43,4,0)</f>
        <v>1999</v>
      </c>
      <c r="D53" s="60" t="str">
        <f>VLOOKUP(B53,Liegenschaften!$D$4:$AI$43,5,0)</f>
        <v>Erdgas</v>
      </c>
      <c r="E53" s="60" t="str">
        <f>VLOOKUP(B53,Liegenschaften!$D$4:$AI$43,20,0)</f>
        <v>kWh (Gas)</v>
      </c>
      <c r="F53" s="229">
        <f>VLOOKUP(B53,Liegenschaften!$D$4:$AI$43,23,0)</f>
        <v>92725.6</v>
      </c>
      <c r="G53" s="230">
        <f>VLOOKUP(B53,Liegenschaften!$D$4:$AI$43,24,0)</f>
        <v>8345.304</v>
      </c>
      <c r="H53" s="229">
        <f>VLOOKUP(B53,Liegenschaften!$D$4:$AI$43,25,0)</f>
        <v>18545.12</v>
      </c>
      <c r="I53" s="229">
        <f>VLOOKUP(B53,Liegenschaften!$D$4:$AI$43,26,0)</f>
        <v>1598.71724137931</v>
      </c>
      <c r="J53" s="229">
        <f>VLOOKUP(B53,Liegenschaften!$D$4:$AI$43,27,0)</f>
        <v>356.636923076923</v>
      </c>
      <c r="K53" s="60">
        <f>VLOOKUP(B53,Liegenschaften!$D$4:$AI$43,27,0)</f>
        <v>356.636923076923</v>
      </c>
      <c r="L53" s="229" t="str">
        <f>VLOOKUP(B53,Liegenschaften!$D$4:$AI$43,28,0)</f>
        <v>H</v>
      </c>
      <c r="M53" s="231">
        <f>VLOOKUP(B53,Liegenschaften!$D$4:$AI$43,29,0)</f>
        <v>356.636923076923</v>
      </c>
    </row>
    <row r="54" spans="1:13" ht="12.75">
      <c r="A54">
        <v>7</v>
      </c>
      <c r="B54" s="228" t="str">
        <f>VLOOKUP(A54,Liegenschaften!$B$4:$AG$43,3,0)</f>
        <v>Mehrzweckhalle (Bo)</v>
      </c>
      <c r="C54" s="60">
        <f>VLOOKUP(B54,Liegenschaften!$D$4:$AI$43,4,0)</f>
        <v>2020</v>
      </c>
      <c r="D54" s="60" t="str">
        <f>VLOOKUP(B54,Liegenschaften!$D$4:$AI$43,5,0)</f>
        <v>Erdgas </v>
      </c>
      <c r="E54" s="60" t="str">
        <f>VLOOKUP(B54,Liegenschaften!$D$4:$AI$43,20,0)</f>
        <v>kWh (Gas)</v>
      </c>
      <c r="F54" s="229">
        <f>VLOOKUP(B54,Liegenschaften!$D$4:$AI$43,23,0)</f>
        <v>90440.8</v>
      </c>
      <c r="G54" s="230">
        <f>VLOOKUP(B54,Liegenschaften!$D$4:$AI$43,24,0)</f>
        <v>8139.672</v>
      </c>
      <c r="H54" s="229">
        <f>VLOOKUP(B54,Liegenschaften!$D$4:$AI$43,25,0)</f>
        <v>18088.16</v>
      </c>
      <c r="I54" s="229">
        <f>VLOOKUP(B54,Liegenschaften!$D$4:$AI$43,26,0)</f>
        <v>602.938666666667</v>
      </c>
      <c r="J54" s="229">
        <f>VLOOKUP(B54,Liegenschaften!$D$4:$AI$43,27,0)</f>
        <v>115.211210191083</v>
      </c>
      <c r="K54" s="60">
        <f>VLOOKUP(B54,Liegenschaften!$D$4:$AI$43,27,0)</f>
        <v>115.211210191083</v>
      </c>
      <c r="L54" s="229" t="str">
        <f>VLOOKUP(B54,Liegenschaften!$D$4:$AI$43,28,0)</f>
        <v>D</v>
      </c>
      <c r="M54" s="231">
        <f>VLOOKUP(B54,Liegenschaften!$D$4:$AI$43,29,0)</f>
        <v>576.056050955414</v>
      </c>
    </row>
    <row r="55" spans="1:13" ht="12.75">
      <c r="A55">
        <v>8</v>
      </c>
      <c r="B55" s="228" t="str">
        <f>VLOOKUP(A55,Liegenschaften!$B$4:$AG$43,3,0)</f>
        <v>Mehrzweckhalle (Al)</v>
      </c>
      <c r="C55" s="60">
        <f>VLOOKUP(B55,Liegenschaften!$D$4:$AI$43,4,0)</f>
        <v>1991</v>
      </c>
      <c r="D55" s="60" t="str">
        <f>VLOOKUP(B55,Liegenschaften!$D$4:$AI$43,5,0)</f>
        <v>Öl</v>
      </c>
      <c r="E55" s="60" t="str">
        <f>VLOOKUP(B55,Liegenschaften!$D$4:$AI$43,20,0)</f>
        <v>Liter (Öl)</v>
      </c>
      <c r="F55" s="229">
        <f>VLOOKUP(B55,Liegenschaften!$D$4:$AI$43,23,0)</f>
        <v>75216</v>
      </c>
      <c r="G55" s="230">
        <f>VLOOKUP(B55,Liegenschaften!$D$4:$AI$43,24,0)</f>
        <v>7521.6</v>
      </c>
      <c r="H55" s="229">
        <f>VLOOKUP(B55,Liegenschaften!$D$4:$AI$43,25,0)</f>
        <v>20308.32</v>
      </c>
      <c r="I55" s="229">
        <f>VLOOKUP(B55,Liegenschaften!$D$4:$AI$43,26,0)</f>
        <v>358.171428571429</v>
      </c>
      <c r="J55" s="229">
        <f>VLOOKUP(B55,Liegenschaften!$D$4:$AI$43,27,0)</f>
        <v>95.2101265822785</v>
      </c>
      <c r="K55" s="60">
        <f>VLOOKUP(B55,Liegenschaften!$D$4:$AI$43,27,0)</f>
        <v>95.2101265822785</v>
      </c>
      <c r="L55" s="229" t="str">
        <f>VLOOKUP(B55,Liegenschaften!$D$4:$AI$43,28,0)</f>
        <v>C</v>
      </c>
      <c r="M55" s="231">
        <f>VLOOKUP(B55,Liegenschaften!$D$4:$AI$43,29,0)</f>
        <v>476.050632911392</v>
      </c>
    </row>
    <row r="56" spans="1:13" ht="12.75">
      <c r="A56">
        <v>9</v>
      </c>
      <c r="B56" s="228" t="str">
        <f>VLOOKUP(A56,Liegenschaften!$B$4:$AG$43,3,0)</f>
        <v>Ehem. Verwaltung Vereinsgebäude mit Feuerwehr (Bo)</v>
      </c>
      <c r="C56" s="60">
        <f>VLOOKUP(B56,Liegenschaften!$D$4:$AI$43,4,0)</f>
        <v>1983</v>
      </c>
      <c r="D56" s="60" t="str">
        <f>VLOOKUP(B56,Liegenschaften!$D$4:$AI$43,5,0)</f>
        <v>Erdgas</v>
      </c>
      <c r="E56" s="60" t="str">
        <f>VLOOKUP(B56,Liegenschaften!$D$4:$AI$43,20,0)</f>
        <v>kWh (Gas)</v>
      </c>
      <c r="F56" s="229">
        <f>VLOOKUP(B56,Liegenschaften!$D$4:$AI$43,23,0)</f>
        <v>77645</v>
      </c>
      <c r="G56" s="230">
        <f>VLOOKUP(B56,Liegenschaften!$D$4:$AI$43,24,0)</f>
        <v>6988.05</v>
      </c>
      <c r="H56" s="229">
        <f>VLOOKUP(B56,Liegenschaften!$D$4:$AI$43,25,0)</f>
        <v>15529</v>
      </c>
      <c r="I56" s="229">
        <f>VLOOKUP(B56,Liegenschaften!$D$4:$AI$43,26,0)</f>
        <v>4313.61111111111</v>
      </c>
      <c r="J56" s="229">
        <f>VLOOKUP(B56,Liegenschaften!$D$4:$AI$43,27,0)</f>
        <v>126.457654723127</v>
      </c>
      <c r="K56" s="60">
        <f>VLOOKUP(B56,Liegenschaften!$D$4:$AI$43,27,0)</f>
        <v>126.457654723127</v>
      </c>
      <c r="L56" s="229" t="str">
        <f>VLOOKUP(B56,Liegenschaften!$D$4:$AI$43,28,0)</f>
        <v>D</v>
      </c>
      <c r="M56" s="231">
        <f>VLOOKUP(B56,Liegenschaften!$D$4:$AI$43,29,0)</f>
        <v>126.457654723127</v>
      </c>
    </row>
    <row r="57" spans="1:13" ht="12.75">
      <c r="A57">
        <v>10</v>
      </c>
      <c r="B57" s="228" t="str">
        <f>VLOOKUP(A57,Liegenschaften!$B$4:$AG$43,3,0)</f>
        <v>Schwimmbad (Br)</v>
      </c>
      <c r="C57" s="60">
        <f>VLOOKUP(B57,Liegenschaften!$D$4:$AI$43,4,0)</f>
        <v>1987</v>
      </c>
      <c r="D57" s="60" t="str">
        <f>VLOOKUP(B57,Liegenschaften!$D$4:$AI$43,5,0)</f>
        <v>Erdgas </v>
      </c>
      <c r="E57" s="60" t="str">
        <f>VLOOKUP(B57,Liegenschaften!$D$4:$AI$43,20,0)</f>
        <v>kWh (Gas)</v>
      </c>
      <c r="F57" s="229">
        <f>VLOOKUP(B57,Liegenschaften!$D$4:$AI$43,23,0)</f>
        <v>77100</v>
      </c>
      <c r="G57" s="230">
        <f>VLOOKUP(B57,Liegenschaften!$D$4:$AI$43,24,0)</f>
        <v>6939</v>
      </c>
      <c r="H57" s="229">
        <f>VLOOKUP(B57,Liegenschaften!$D$4:$AI$43,25,0)</f>
        <v>15420</v>
      </c>
      <c r="I57" s="229">
        <f>VLOOKUP(B57,Liegenschaften!$D$4:$AI$43,26,0)</f>
        <v>220.285714285714</v>
      </c>
      <c r="J57" s="229">
        <f>VLOOKUP(B57,Liegenschaften!$D$4:$AI$43,27,0)</f>
        <v>0</v>
      </c>
      <c r="K57" s="60">
        <f>VLOOKUP(B57,Liegenschaften!$D$4:$AI$43,27,0)</f>
        <v>0</v>
      </c>
      <c r="L57" s="229">
        <f>VLOOKUP(B57,Liegenschaften!$D$4:$AI$43,28,0)</f>
        <v>0</v>
      </c>
      <c r="M57" s="231">
        <f>VLOOKUP(B57,Liegenschaften!$D$4:$AI$43,29,0)</f>
        <v>0</v>
      </c>
    </row>
    <row r="58" spans="1:13" ht="12.75">
      <c r="A58">
        <v>11</v>
      </c>
      <c r="B58" s="228" t="str">
        <f>VLOOKUP(A58,Liegenschaften!$B$4:$AG$43,3,0)</f>
        <v>Gymnastikhalle (Ne)</v>
      </c>
      <c r="C58" s="60">
        <f>VLOOKUP(B58,Liegenschaften!$D$4:$AI$43,4,0)</f>
        <v>2019</v>
      </c>
      <c r="D58" s="60" t="str">
        <f>VLOOKUP(B58,Liegenschaften!$D$4:$AI$43,5,0)</f>
        <v>Öl</v>
      </c>
      <c r="E58" s="60" t="str">
        <f>VLOOKUP(B58,Liegenschaften!$D$4:$AI$43,20,0)</f>
        <v>Liter (Öl)</v>
      </c>
      <c r="F58" s="229">
        <f>VLOOKUP(B58,Liegenschaften!$D$4:$AI$43,23,0)</f>
        <v>69162.5</v>
      </c>
      <c r="G58" s="230">
        <f>VLOOKUP(B58,Liegenschaften!$D$4:$AI$43,24,0)</f>
        <v>6916.25</v>
      </c>
      <c r="H58" s="229">
        <f>VLOOKUP(B58,Liegenschaften!$D$4:$AI$43,25,0)</f>
        <v>18673.875</v>
      </c>
      <c r="I58" s="229">
        <f>VLOOKUP(B58,Liegenschaften!$D$4:$AI$43,26,0)</f>
        <v>1158.50083752094</v>
      </c>
      <c r="J58" s="229">
        <f>VLOOKUP(B58,Liegenschaften!$D$4:$AI$43,27,0)</f>
        <v>145.605263157895</v>
      </c>
      <c r="K58" s="60">
        <f>VLOOKUP(B58,Liegenschaften!$D$4:$AI$43,27,0)</f>
        <v>145.605263157895</v>
      </c>
      <c r="L58" s="229" t="str">
        <f>VLOOKUP(B58,Liegenschaften!$D$4:$AI$43,28,0)</f>
        <v>E</v>
      </c>
      <c r="M58" s="231">
        <f>VLOOKUP(B58,Liegenschaften!$D$4:$AI$43,29,0)</f>
        <v>582.421052631579</v>
      </c>
    </row>
    <row r="59" spans="1:13" ht="12.75">
      <c r="A59">
        <v>12</v>
      </c>
      <c r="B59" s="228" t="str">
        <f>VLOOKUP(A59,Liegenschaften!$B$4:$AG$43,3,0)</f>
        <v>Dorfgemeinschaftshaus (Ne)</v>
      </c>
      <c r="C59" s="60">
        <f>VLOOKUP(B59,Liegenschaften!$D$4:$AI$43,4,0)</f>
        <v>2004</v>
      </c>
      <c r="D59" s="60" t="str">
        <f>VLOOKUP(B59,Liegenschaften!$D$4:$AI$43,5,0)</f>
        <v>Öl</v>
      </c>
      <c r="E59" s="60" t="str">
        <f>VLOOKUP(B59,Liegenschaften!$D$4:$AI$43,20,0)</f>
        <v>Liter (Öl)</v>
      </c>
      <c r="F59" s="229">
        <f>VLOOKUP(B59,Liegenschaften!$D$4:$AI$43,23,0)</f>
        <v>57804</v>
      </c>
      <c r="G59" s="230">
        <f>VLOOKUP(B59,Liegenschaften!$D$4:$AI$43,24,0)</f>
        <v>5780.4</v>
      </c>
      <c r="H59" s="229">
        <f>VLOOKUP(B59,Liegenschaften!$D$4:$AI$43,25,0)</f>
        <v>15607.08</v>
      </c>
      <c r="I59" s="229">
        <f>VLOOKUP(B59,Liegenschaften!$D$4:$AI$43,26,0)</f>
        <v>680.047058823529</v>
      </c>
      <c r="J59" s="229">
        <f>VLOOKUP(B59,Liegenschaften!$D$4:$AI$43,27,0)</f>
        <v>140.985365853659</v>
      </c>
      <c r="K59" s="60">
        <f>VLOOKUP(B59,Liegenschaften!$D$4:$AI$43,27,0)</f>
        <v>140.985365853659</v>
      </c>
      <c r="L59" s="229" t="str">
        <f>VLOOKUP(B59,Liegenschaften!$D$4:$AI$43,28,0)</f>
        <v>E</v>
      </c>
      <c r="M59" s="231">
        <f>VLOOKUP(B59,Liegenschaften!$D$4:$AI$43,29,0)</f>
        <v>140.985365853659</v>
      </c>
    </row>
    <row r="60" spans="1:13" ht="12.75">
      <c r="A60">
        <v>13</v>
      </c>
      <c r="B60" s="228" t="str">
        <f>VLOOKUP(A60,Liegenschaften!$B$4:$AG$43,3,0)</f>
        <v>Kindergarten (Bo)</v>
      </c>
      <c r="C60" s="60">
        <f>VLOOKUP(B60,Liegenschaften!$D$4:$AI$43,4,0)</f>
        <v>2013</v>
      </c>
      <c r="D60" s="60" t="str">
        <f>VLOOKUP(B60,Liegenschaften!$D$4:$AI$43,5,0)</f>
        <v>Erdgas</v>
      </c>
      <c r="E60" s="60" t="str">
        <f>VLOOKUP(B60,Liegenschaften!$D$4:$AI$43,20,0)</f>
        <v>kWh (Gas)</v>
      </c>
      <c r="F60" s="229">
        <f>VLOOKUP(B60,Liegenschaften!$D$4:$AI$43,23,0)</f>
        <v>60734.8</v>
      </c>
      <c r="G60" s="230">
        <f>VLOOKUP(B60,Liegenschaften!$D$4:$AI$43,24,0)</f>
        <v>5466.132</v>
      </c>
      <c r="H60" s="229">
        <f>VLOOKUP(B60,Liegenschaften!$D$4:$AI$43,25,0)</f>
        <v>12146.96</v>
      </c>
      <c r="I60" s="229">
        <f>VLOOKUP(B60,Liegenschaften!$D$4:$AI$43,26,0)</f>
        <v>964.044444444444</v>
      </c>
      <c r="J60" s="229">
        <f>VLOOKUP(B60,Liegenschaften!$D$4:$AI$43,27,0)</f>
        <v>74.521226993865</v>
      </c>
      <c r="K60" s="60">
        <f>VLOOKUP(B60,Liegenschaften!$D$4:$AI$43,27,0)</f>
        <v>74.521226993865</v>
      </c>
      <c r="L60" s="229" t="str">
        <f>VLOOKUP(B60,Liegenschaften!$D$4:$AI$43,28,0)</f>
        <v>B</v>
      </c>
      <c r="M60" s="231">
        <f>VLOOKUP(B60,Liegenschaften!$D$4:$AI$43,29,0)</f>
        <v>78.4433968356474</v>
      </c>
    </row>
    <row r="61" spans="1:13" ht="12.75">
      <c r="A61">
        <v>14</v>
      </c>
      <c r="B61" s="228" t="str">
        <f>VLOOKUP(A61,Liegenschaften!$B$4:$AG$43,3,0)</f>
        <v>ehem. Sparkassengebäude (Br)</v>
      </c>
      <c r="C61" s="60">
        <f>VLOOKUP(B61,Liegenschaften!$D$4:$AI$43,4,0)</f>
        <v>1981</v>
      </c>
      <c r="D61" s="60" t="str">
        <f>VLOOKUP(B61,Liegenschaften!$D$4:$AI$43,5,0)</f>
        <v>Erdgas</v>
      </c>
      <c r="E61" s="60" t="str">
        <f>VLOOKUP(B61,Liegenschaften!$D$4:$AI$43,20,0)</f>
        <v>kWh (Gas)</v>
      </c>
      <c r="F61" s="229">
        <f>VLOOKUP(B61,Liegenschaften!$D$4:$AI$43,23,0)</f>
        <v>57029.5</v>
      </c>
      <c r="G61" s="230">
        <f>VLOOKUP(B61,Liegenschaften!$D$4:$AI$43,24,0)</f>
        <v>5132.655</v>
      </c>
      <c r="H61" s="229">
        <f>VLOOKUP(B61,Liegenschaften!$D$4:$AI$43,25,0)</f>
        <v>11405.9</v>
      </c>
      <c r="I61" s="229">
        <f>VLOOKUP(B61,Liegenschaften!$D$4:$AI$43,26,0)</f>
        <v>1022.03405017921</v>
      </c>
      <c r="J61" s="229">
        <f>VLOOKUP(B61,Liegenschaften!$D$4:$AI$43,27,0)</f>
        <v>131.404377880184</v>
      </c>
      <c r="K61" s="60">
        <f>VLOOKUP(B61,Liegenschaften!$D$4:$AI$43,27,0)</f>
        <v>131.404377880184</v>
      </c>
      <c r="L61" s="229" t="str">
        <f>VLOOKUP(B61,Liegenschaften!$D$4:$AI$43,28,0)</f>
        <v>E</v>
      </c>
      <c r="M61" s="231">
        <f>VLOOKUP(B61,Liegenschaften!$D$4:$AI$43,29,0)</f>
        <v>0</v>
      </c>
    </row>
    <row r="62" spans="1:13" ht="12.75">
      <c r="A62">
        <v>15</v>
      </c>
      <c r="B62" s="228" t="str">
        <f>VLOOKUP(A62,Liegenschaften!$B$4:$AG$43,3,0)</f>
        <v>Bauhof Büro (Br)</v>
      </c>
      <c r="C62" s="60">
        <f>VLOOKUP(B62,Liegenschaften!$D$4:$AI$43,4,0)</f>
        <v>2000</v>
      </c>
      <c r="D62" s="60" t="str">
        <f>VLOOKUP(B62,Liegenschaften!$D$4:$AI$43,5,0)</f>
        <v>Erdgas </v>
      </c>
      <c r="E62" s="60" t="str">
        <f>VLOOKUP(B62,Liegenschaften!$D$4:$AI$43,20,0)</f>
        <v>kWh (Gas)</v>
      </c>
      <c r="F62" s="229">
        <f>VLOOKUP(B62,Liegenschaften!$D$4:$AI$43,23,0)</f>
        <v>53694.2</v>
      </c>
      <c r="G62" s="230">
        <f>VLOOKUP(B62,Liegenschaften!$D$4:$AI$43,24,0)</f>
        <v>4832.478</v>
      </c>
      <c r="H62" s="229">
        <f>VLOOKUP(B62,Liegenschaften!$D$4:$AI$43,25,0)</f>
        <v>10738.84</v>
      </c>
      <c r="I62" s="229">
        <f>VLOOKUP(B62,Liegenschaften!$D$4:$AI$43,26,0)</f>
        <v>910.071186440678</v>
      </c>
      <c r="J62" s="229">
        <f>VLOOKUP(B62,Liegenschaften!$D$4:$AI$43,27,0)</f>
        <v>233.453043478261</v>
      </c>
      <c r="K62" s="60">
        <f>VLOOKUP(B62,Liegenschaften!$D$4:$AI$43,27,0)</f>
        <v>233.453043478261</v>
      </c>
      <c r="L62" s="229" t="str">
        <f>VLOOKUP(B62,Liegenschaften!$D$4:$AI$43,28,0)</f>
        <v>G</v>
      </c>
      <c r="M62" s="231">
        <f>VLOOKUP(B62,Liegenschaften!$D$4:$AI$43,29,0)</f>
        <v>233.453043478261</v>
      </c>
    </row>
    <row r="63" spans="1:13" ht="12.75">
      <c r="A63">
        <v>16</v>
      </c>
      <c r="B63" s="228" t="str">
        <f>VLOOKUP(A63,Liegenschaften!$B$4:$AG$43,3,0)</f>
        <v>Mehrzweckhalle, Vereinsraum (Ph)</v>
      </c>
      <c r="C63" s="60">
        <f>VLOOKUP(B63,Liegenschaften!$D$4:$AI$43,4,0)</f>
        <v>2005</v>
      </c>
      <c r="D63" s="60" t="str">
        <f>VLOOKUP(B63,Liegenschaften!$D$4:$AI$43,5,0)</f>
        <v>Erdgas </v>
      </c>
      <c r="E63" s="60" t="str">
        <f>VLOOKUP(B63,Liegenschaften!$D$4:$AI$43,20,0)</f>
        <v>kWh (Gas)</v>
      </c>
      <c r="F63" s="229">
        <f>VLOOKUP(B63,Liegenschaften!$D$4:$AI$43,23,0)</f>
        <v>37158.4</v>
      </c>
      <c r="G63" s="230">
        <f>VLOOKUP(B63,Liegenschaften!$D$4:$AI$43,24,0)</f>
        <v>3344.256</v>
      </c>
      <c r="H63" s="229">
        <f>VLOOKUP(B63,Liegenschaften!$D$4:$AI$43,25,0)</f>
        <v>7431.68</v>
      </c>
      <c r="I63" s="229">
        <f>VLOOKUP(B63,Liegenschaften!$D$4:$AI$43,26,0)</f>
        <v>1548.26666666667</v>
      </c>
      <c r="J63" s="229">
        <f>VLOOKUP(B63,Liegenschaften!$D$4:$AI$43,27,0)</f>
        <v>530.834285714286</v>
      </c>
      <c r="K63" s="60">
        <f>VLOOKUP(B63,Liegenschaften!$D$4:$AI$43,27,0)</f>
        <v>530.834285714286</v>
      </c>
      <c r="L63" s="229" t="str">
        <f>VLOOKUP(B63,Liegenschaften!$D$4:$AI$43,28,0)</f>
        <v>H</v>
      </c>
      <c r="M63" s="231">
        <f>VLOOKUP(B63,Liegenschaften!$D$4:$AI$43,29,0)</f>
        <v>530.834285714286</v>
      </c>
    </row>
    <row r="64" spans="1:13" ht="12.75">
      <c r="A64">
        <v>17</v>
      </c>
      <c r="B64" s="228" t="str">
        <f>VLOOKUP(A64,Liegenschaften!$B$4:$AG$43,3,0)</f>
        <v>Sportanlagen Umkleide FSV (Br)</v>
      </c>
      <c r="C64" s="60">
        <f>VLOOKUP(B64,Liegenschaften!$D$4:$AI$43,4,0)</f>
        <v>1987</v>
      </c>
      <c r="D64" s="60" t="str">
        <f>VLOOKUP(B64,Liegenschaften!$D$4:$AI$43,5,0)</f>
        <v>Erdgas</v>
      </c>
      <c r="E64" s="60" t="str">
        <f>VLOOKUP(B64,Liegenschaften!$D$4:$AI$43,20,0)</f>
        <v>kWh (Gas)</v>
      </c>
      <c r="F64" s="229">
        <f>VLOOKUP(B64,Liegenschaften!$D$4:$AI$43,23,0)</f>
        <v>36757</v>
      </c>
      <c r="G64" s="230">
        <f>VLOOKUP(B64,Liegenschaften!$D$4:$AI$43,24,0)</f>
        <v>3308.13</v>
      </c>
      <c r="H64" s="229">
        <f>VLOOKUP(B64,Liegenschaften!$D$4:$AI$43,25,0)</f>
        <v>7351.4</v>
      </c>
      <c r="I64" s="229">
        <f>VLOOKUP(B64,Liegenschaften!$D$4:$AI$43,26,0)</f>
        <v>574.328125</v>
      </c>
      <c r="J64" s="229">
        <f>VLOOKUP(B64,Liegenschaften!$D$4:$AI$43,27,0)</f>
        <v>0</v>
      </c>
      <c r="K64" s="60">
        <f>VLOOKUP(B64,Liegenschaften!$D$4:$AI$43,27,0)</f>
        <v>0</v>
      </c>
      <c r="L64" s="229">
        <f>VLOOKUP(B64,Liegenschaften!$D$4:$AI$43,28,0)</f>
        <v>0</v>
      </c>
      <c r="M64" s="231">
        <f>VLOOKUP(B64,Liegenschaften!$D$4:$AI$43,29,0)</f>
        <v>0</v>
      </c>
    </row>
    <row r="65" spans="1:13" ht="12.75">
      <c r="A65">
        <v>18</v>
      </c>
      <c r="B65" s="228" t="str">
        <f>VLOOKUP(A65,Liegenschaften!$B$4:$AG$43,3,0)</f>
        <v>Kita Schlossmäuse Neubau (Br)</v>
      </c>
      <c r="C65" s="60">
        <f>VLOOKUP(B65,Liegenschaften!$D$4:$AI$43,4,0)</f>
        <v>2016</v>
      </c>
      <c r="D65" s="60" t="str">
        <f>VLOOKUP(B65,Liegenschaften!$D$4:$AI$43,5,0)</f>
        <v>Luft-Wärme-Pumpe </v>
      </c>
      <c r="E65" s="60" t="str">
        <f>VLOOKUP(B65,Liegenschaften!$D$4:$AI$43,20,0)</f>
        <v>kWh (Strom)</v>
      </c>
      <c r="F65" s="229">
        <f>VLOOKUP(B65,Liegenschaften!$D$4:$AI$43,23,0)</f>
        <v>10875.6</v>
      </c>
      <c r="G65" s="230">
        <f>VLOOKUP(B65,Liegenschaften!$D$4:$AI$43,24,0)</f>
        <v>3262.68</v>
      </c>
      <c r="H65" s="229">
        <f>VLOOKUP(B65,Liegenschaften!$D$4:$AI$43,25,0)</f>
        <v>4350.24</v>
      </c>
      <c r="I65" s="229">
        <f>VLOOKUP(B65,Liegenschaften!$D$4:$AI$43,26,0)</f>
        <v>517.885714285714</v>
      </c>
      <c r="J65" s="229">
        <f>VLOOKUP(B65,Liegenschaften!$D$4:$AI$43,27,0)</f>
        <v>19.4207142857143</v>
      </c>
      <c r="K65" s="60">
        <f>VLOOKUP(B65,Liegenschaften!$D$4:$AI$43,27,0)</f>
        <v>19.4207142857143</v>
      </c>
      <c r="L65" s="229" t="str">
        <f>VLOOKUP(B65,Liegenschaften!$D$4:$AI$43,28,0)</f>
        <v>A+</v>
      </c>
      <c r="M65" s="231">
        <f>VLOOKUP(B65,Liegenschaften!$D$4:$AI$43,29,0)</f>
        <v>20.4428571428571</v>
      </c>
    </row>
    <row r="66" spans="1:13" ht="12.75">
      <c r="A66">
        <v>19</v>
      </c>
      <c r="B66" s="228" t="str">
        <f>VLOOKUP(A66,Liegenschaften!$B$4:$AG$43,3,0)</f>
        <v>Kindergarten (Al)</v>
      </c>
      <c r="C66" s="60">
        <f>VLOOKUP(B66,Liegenschaften!$D$4:$AI$43,4,0)</f>
        <v>2015</v>
      </c>
      <c r="D66" s="60" t="str">
        <f>VLOOKUP(B66,Liegenschaften!$D$4:$AI$43,5,0)</f>
        <v>Flüssiggas</v>
      </c>
      <c r="E66" s="60" t="str">
        <f>VLOOKUP(B66,Liegenschaften!$D$4:$AI$43,20,0)</f>
        <v>Liter (Fl.gas)</v>
      </c>
      <c r="F66" s="229">
        <f>VLOOKUP(B66,Liegenschaften!$D$4:$AI$43,23,0)</f>
        <v>32573.5837386579</v>
      </c>
      <c r="G66" s="230">
        <f>VLOOKUP(B66,Liegenschaften!$D$4:$AI$43,24,0)</f>
        <v>2931.62253647921</v>
      </c>
      <c r="H66" s="229">
        <f>VLOOKUP(B66,Liegenschaften!$D$4:$AI$43,25,0)</f>
        <v>8469.13177205106</v>
      </c>
      <c r="I66" s="229">
        <f>VLOOKUP(B66,Liegenschaften!$D$4:$AI$43,26,0)</f>
        <v>1380.23659909568</v>
      </c>
      <c r="J66" s="229">
        <f>VLOOKUP(B66,Liegenschaften!$D$4:$AI$43,27,0)</f>
        <v>139.203349310504</v>
      </c>
      <c r="K66" s="60">
        <f>VLOOKUP(B66,Liegenschaften!$D$4:$AI$43,27,0)</f>
        <v>139.203349310504</v>
      </c>
      <c r="L66" s="229" t="str">
        <f>VLOOKUP(B66,Liegenschaften!$D$4:$AI$43,28,0)</f>
        <v>E</v>
      </c>
      <c r="M66" s="231">
        <f>VLOOKUP(B66,Liegenschaften!$D$4:$AI$43,29,0)</f>
        <v>146.529841379478</v>
      </c>
    </row>
    <row r="67" spans="1:13" ht="12.75">
      <c r="A67">
        <v>20</v>
      </c>
      <c r="B67" s="228" t="str">
        <f>VLOOKUP(A67,Liegenschaften!$B$4:$AG$43,3,0)</f>
        <v>Kurparktreff (Br)</v>
      </c>
      <c r="C67" s="60">
        <f>VLOOKUP(B67,Liegenschaften!$D$4:$AI$43,4,0)</f>
        <v>1990</v>
      </c>
      <c r="D67" s="60" t="str">
        <f>VLOOKUP(B67,Liegenschaften!$D$4:$AI$43,5,0)</f>
        <v>Erdgas </v>
      </c>
      <c r="E67" s="60" t="str">
        <f>VLOOKUP(B67,Liegenschaften!$D$4:$AI$43,20,0)</f>
        <v>kWh (Gas)</v>
      </c>
      <c r="F67" s="229">
        <f>VLOOKUP(B67,Liegenschaften!$D$4:$AI$43,23,0)</f>
        <v>32464.6</v>
      </c>
      <c r="G67" s="230">
        <f>VLOOKUP(B67,Liegenschaften!$D$4:$AI$43,24,0)</f>
        <v>2921.814</v>
      </c>
      <c r="H67" s="229">
        <f>VLOOKUP(B67,Liegenschaften!$D$4:$AI$43,25,0)</f>
        <v>6492.92</v>
      </c>
      <c r="I67" s="229">
        <f>VLOOKUP(B67,Liegenschaften!$D$4:$AI$43,26,0)</f>
        <v>1352.69166666667</v>
      </c>
      <c r="J67" s="229">
        <f>VLOOKUP(B67,Liegenschaften!$D$4:$AI$43,27,0)</f>
        <v>124.863846153846</v>
      </c>
      <c r="K67" s="60">
        <f>VLOOKUP(B67,Liegenschaften!$D$4:$AI$43,27,0)</f>
        <v>124.863846153846</v>
      </c>
      <c r="L67" s="229" t="str">
        <f>VLOOKUP(B67,Liegenschaften!$D$4:$AI$43,28,0)</f>
        <v>D</v>
      </c>
      <c r="M67" s="231">
        <f>VLOOKUP(B67,Liegenschaften!$D$4:$AI$43,29,0)</f>
        <v>832.425641025641</v>
      </c>
    </row>
    <row r="68" spans="1:13" ht="12.75">
      <c r="A68">
        <v>21</v>
      </c>
      <c r="B68" s="228" t="str">
        <f>VLOOKUP(A68,Liegenschaften!$B$4:$AG$43,3,0)</f>
        <v>Feuerwehrgerätehaus (Ph)</v>
      </c>
      <c r="C68" s="60">
        <f>VLOOKUP(B68,Liegenschaften!$D$4:$AI$43,4,0)</f>
        <v>1993</v>
      </c>
      <c r="D68" s="60" t="str">
        <f>VLOOKUP(B68,Liegenschaften!$D$4:$AI$43,5,0)</f>
        <v>Erdgas</v>
      </c>
      <c r="E68" s="60" t="str">
        <f>VLOOKUP(B68,Liegenschaften!$D$4:$AI$43,20,0)</f>
        <v>kWh (Gas)</v>
      </c>
      <c r="F68" s="229">
        <f>VLOOKUP(B68,Liegenschaften!$D$4:$AI$43,23,0)</f>
        <v>31793.2</v>
      </c>
      <c r="G68" s="230">
        <f>VLOOKUP(B68,Liegenschaften!$D$4:$AI$43,24,0)</f>
        <v>2861.388</v>
      </c>
      <c r="H68" s="229">
        <f>VLOOKUP(B68,Liegenschaften!$D$4:$AI$43,25,0)</f>
        <v>6358.64</v>
      </c>
      <c r="I68" s="229">
        <f>VLOOKUP(B68,Liegenschaften!$D$4:$AI$43,26,0)</f>
        <v>993.5375</v>
      </c>
      <c r="J68" s="229">
        <f>VLOOKUP(B68,Liegenschaften!$D$4:$AI$43,27,0)</f>
        <v>68.965726681128</v>
      </c>
      <c r="K68" s="60">
        <f>VLOOKUP(B68,Liegenschaften!$D$4:$AI$43,27,0)</f>
        <v>68.965726681128</v>
      </c>
      <c r="L68" s="229" t="str">
        <f>VLOOKUP(B68,Liegenschaften!$D$4:$AI$43,28,0)</f>
        <v>B</v>
      </c>
      <c r="M68" s="231">
        <f>VLOOKUP(B68,Liegenschaften!$D$4:$AI$43,29,0)</f>
        <v>68.965726681128</v>
      </c>
    </row>
    <row r="69" spans="1:13" ht="12.75">
      <c r="A69">
        <v>22</v>
      </c>
      <c r="B69" s="228" t="str">
        <f>VLOOKUP(A69,Liegenschaften!$B$4:$AG$43,3,0)</f>
        <v>Alte Schule m. Wohnungen (Ti)</v>
      </c>
      <c r="C69" s="60">
        <f>VLOOKUP(B69,Liegenschaften!$D$4:$AI$43,4,0)</f>
        <v>2010</v>
      </c>
      <c r="D69" s="60" t="str">
        <f>VLOOKUP(B69,Liegenschaften!$D$4:$AI$43,5,0)</f>
        <v>Pellet </v>
      </c>
      <c r="E69" s="60" t="str">
        <f>VLOOKUP(B69,Liegenschaften!$D$4:$AI$43,20,0)</f>
        <v>kg (Pellets)</v>
      </c>
      <c r="F69" s="229">
        <f>VLOOKUP(B69,Liegenschaften!$D$4:$AI$43,23,0)</f>
        <v>28745.2</v>
      </c>
      <c r="G69" s="230">
        <f>VLOOKUP(B69,Liegenschaften!$D$4:$AI$43,24,0)</f>
        <v>2299.616</v>
      </c>
      <c r="H69" s="229">
        <f>VLOOKUP(B69,Liegenschaften!$D$4:$AI$43,25,0)</f>
        <v>2874.52</v>
      </c>
      <c r="I69" s="229">
        <f>VLOOKUP(B69,Liegenschaften!$D$4:$AI$43,26,0)</f>
        <v>0</v>
      </c>
      <c r="J69" s="229">
        <f>VLOOKUP(B69,Liegenschaften!$D$4:$AI$43,27,0)</f>
        <v>47.9086666666667</v>
      </c>
      <c r="K69" s="60">
        <f>VLOOKUP(B69,Liegenschaften!$D$4:$AI$43,27,0)</f>
        <v>47.9086666666667</v>
      </c>
      <c r="L69" s="229" t="str">
        <f>VLOOKUP(B69,Liegenschaften!$D$4:$AI$43,28,0)</f>
        <v>A</v>
      </c>
      <c r="M69" s="231">
        <f>VLOOKUP(B69,Liegenschaften!$D$4:$AI$43,29,0)</f>
        <v>47.9086666666667</v>
      </c>
    </row>
    <row r="70" spans="1:13" ht="12.75">
      <c r="A70">
        <v>23</v>
      </c>
      <c r="B70" s="228" t="str">
        <f>VLOOKUP(A70,Liegenschaften!$B$4:$AG$43,3,0)</f>
        <v>Haus des Gastes kl. Saal (Br)</v>
      </c>
      <c r="C70" s="60">
        <f>VLOOKUP(B70,Liegenschaften!$D$4:$AI$43,4,0)</f>
        <v>2000</v>
      </c>
      <c r="D70" s="60" t="str">
        <f>VLOOKUP(B70,Liegenschaften!$D$4:$AI$43,5,0)</f>
        <v>Erdgas </v>
      </c>
      <c r="E70" s="60" t="str">
        <f>VLOOKUP(B70,Liegenschaften!$D$4:$AI$43,20,0)</f>
        <v>kWh (Gas)</v>
      </c>
      <c r="F70" s="229">
        <f>VLOOKUP(B70,Liegenschaften!$D$4:$AI$43,23,0)</f>
        <v>24857.4</v>
      </c>
      <c r="G70" s="230">
        <f>VLOOKUP(B70,Liegenschaften!$D$4:$AI$43,24,0)</f>
        <v>2237.166</v>
      </c>
      <c r="H70" s="229">
        <f>VLOOKUP(B70,Liegenschaften!$D$4:$AI$43,25,0)</f>
        <v>4971.48</v>
      </c>
      <c r="I70" s="229">
        <f>VLOOKUP(B70,Liegenschaften!$D$4:$AI$43,26,0)</f>
        <v>637.369230769231</v>
      </c>
      <c r="J70" s="229">
        <f>VLOOKUP(B70,Liegenschaften!$D$4:$AI$43,27,0)</f>
        <v>21.3002570694087</v>
      </c>
      <c r="K70" s="60">
        <f>VLOOKUP(B70,Liegenschaften!$D$4:$AI$43,27,0)</f>
        <v>21.3002570694087</v>
      </c>
      <c r="L70" s="229" t="str">
        <f>VLOOKUP(B70,Liegenschaften!$D$4:$AI$43,28,0)</f>
        <v>A+</v>
      </c>
      <c r="M70" s="231">
        <f>VLOOKUP(B70,Liegenschaften!$D$4:$AI$43,29,0)</f>
        <v>85.201028277635</v>
      </c>
    </row>
    <row r="71" spans="1:13" ht="12.75">
      <c r="A71">
        <v>24</v>
      </c>
      <c r="B71" s="228" t="str">
        <f>VLOOKUP(A71,Liegenschaften!$B$4:$AG$43,3,0)</f>
        <v>Mehrzweckhalle (Ph)</v>
      </c>
      <c r="C71" s="60">
        <f>VLOOKUP(B71,Liegenschaften!$D$4:$AI$43,4,0)</f>
        <v>2012</v>
      </c>
      <c r="D71" s="60" t="str">
        <f>VLOOKUP(B71,Liegenschaften!$D$4:$AI$43,5,0)</f>
        <v>Erdgas</v>
      </c>
      <c r="E71" s="60" t="str">
        <f>VLOOKUP(B71,Liegenschaften!$D$4:$AI$43,20,0)</f>
        <v>kWh (Gas)</v>
      </c>
      <c r="F71" s="229">
        <f>VLOOKUP(B71,Liegenschaften!$D$4:$AI$43,23,0)</f>
        <v>24662.2</v>
      </c>
      <c r="G71" s="230">
        <f>VLOOKUP(B71,Liegenschaften!$D$4:$AI$43,24,0)</f>
        <v>2219.598</v>
      </c>
      <c r="H71" s="229">
        <f>VLOOKUP(B71,Liegenschaften!$D$4:$AI$43,25,0)</f>
        <v>4932.44</v>
      </c>
      <c r="I71" s="229">
        <f>VLOOKUP(B71,Liegenschaften!$D$4:$AI$43,26,0)</f>
        <v>308.2775</v>
      </c>
      <c r="J71" s="229">
        <f>VLOOKUP(B71,Liegenschaften!$D$4:$AI$43,27,0)</f>
        <v>28.8446783625731</v>
      </c>
      <c r="K71" s="60">
        <f>VLOOKUP(B71,Liegenschaften!$D$4:$AI$43,27,0)</f>
        <v>28.8446783625731</v>
      </c>
      <c r="L71" s="229" t="str">
        <f>VLOOKUP(B71,Liegenschaften!$D$4:$AI$43,28,0)</f>
        <v>A+</v>
      </c>
      <c r="M71" s="231">
        <f>VLOOKUP(B71,Liegenschaften!$D$4:$AI$43,29,0)</f>
        <v>57.6893567251462</v>
      </c>
    </row>
    <row r="72" spans="1:13" ht="12.75">
      <c r="A72">
        <v>25</v>
      </c>
      <c r="B72" s="228" t="str">
        <f>VLOOKUP(A72,Liegenschaften!$B$4:$AG$43,3,0)</f>
        <v>Wohnung 1 (Br)</v>
      </c>
      <c r="C72" s="60">
        <f>VLOOKUP(B72,Liegenschaften!$D$4:$AI$43,4,0)</f>
        <v>2018</v>
      </c>
      <c r="D72" s="60" t="str">
        <f>VLOOKUP(B72,Liegenschaften!$D$4:$AI$43,5,0)</f>
        <v>Erdgas</v>
      </c>
      <c r="E72" s="60" t="str">
        <f>VLOOKUP(B72,Liegenschaften!$D$4:$AI$43,20,0)</f>
        <v>kWh (Gas)</v>
      </c>
      <c r="F72" s="229">
        <f>VLOOKUP(B72,Liegenschaften!$D$4:$AI$43,23,0)</f>
        <v>14265.6</v>
      </c>
      <c r="G72" s="230">
        <f>VLOOKUP(B72,Liegenschaften!$D$4:$AI$43,24,0)</f>
        <v>1283.904</v>
      </c>
      <c r="H72" s="229">
        <f>VLOOKUP(B72,Liegenschaften!$D$4:$AI$43,25,0)</f>
        <v>2853.12</v>
      </c>
      <c r="I72" s="229">
        <f>VLOOKUP(B72,Liegenschaften!$D$4:$AI$43,26,0)</f>
        <v>1018.97142857143</v>
      </c>
      <c r="J72" s="229">
        <f>VLOOKUP(B72,Liegenschaften!$D$4:$AI$43,27,0)</f>
        <v>135.862857142857</v>
      </c>
      <c r="K72" s="60">
        <f>VLOOKUP(B72,Liegenschaften!$D$4:$AI$43,27,0)</f>
        <v>135.862857142857</v>
      </c>
      <c r="L72" s="229" t="str">
        <f>VLOOKUP(B72,Liegenschaften!$D$4:$AI$43,28,0)</f>
        <v>E</v>
      </c>
      <c r="M72" s="231">
        <f>VLOOKUP(B72,Liegenschaften!$D$4:$AI$43,29,0)</f>
        <v>135.862857142857</v>
      </c>
    </row>
    <row r="73" spans="1:13" ht="12.75">
      <c r="A73">
        <v>26</v>
      </c>
      <c r="B73" s="228" t="str">
        <f>VLOOKUP(A73,Liegenschaften!$B$4:$AG$43,3,0)</f>
        <v>Feuerwehrgerätehaus (Ne)</v>
      </c>
      <c r="C73" s="60">
        <f>VLOOKUP(B73,Liegenschaften!$D$4:$AI$43,4,0)</f>
        <v>2009</v>
      </c>
      <c r="D73" s="60" t="str">
        <f>VLOOKUP(B73,Liegenschaften!$D$4:$AI$43,5,0)</f>
        <v>Öl</v>
      </c>
      <c r="E73" s="60" t="str">
        <f>VLOOKUP(B73,Liegenschaften!$D$4:$AI$43,20,0)</f>
        <v>Liter (Öl)</v>
      </c>
      <c r="F73" s="229">
        <f>VLOOKUP(B73,Liegenschaften!$D$4:$AI$43,23,0)</f>
        <v>11250</v>
      </c>
      <c r="G73" s="230">
        <f>VLOOKUP(B73,Liegenschaften!$D$4:$AI$43,24,0)</f>
        <v>1125</v>
      </c>
      <c r="H73" s="229">
        <f>VLOOKUP(B73,Liegenschaften!$D$4:$AI$43,25,0)</f>
        <v>3037.5</v>
      </c>
      <c r="I73" s="229">
        <f>VLOOKUP(B73,Liegenschaften!$D$4:$AI$43,26,0)</f>
        <v>592.105263157895</v>
      </c>
      <c r="J73" s="229">
        <f>VLOOKUP(B73,Liegenschaften!$D$4:$AI$43,27,0)</f>
        <v>40.7608695652174</v>
      </c>
      <c r="K73" s="60">
        <f>VLOOKUP(B73,Liegenschaften!$D$4:$AI$43,27,0)</f>
        <v>40.7608695652174</v>
      </c>
      <c r="L73" s="229" t="str">
        <f>VLOOKUP(B73,Liegenschaften!$D$4:$AI$43,28,0)</f>
        <v>A</v>
      </c>
      <c r="M73" s="231">
        <f>VLOOKUP(B73,Liegenschaften!$D$4:$AI$43,29,0)</f>
        <v>203.804347826087</v>
      </c>
    </row>
    <row r="74" spans="1:13" ht="12.75">
      <c r="A74">
        <v>27</v>
      </c>
      <c r="B74" s="228" t="str">
        <f>VLOOKUP(A74,Liegenschaften!$B$4:$AG$43,3,0)</f>
        <v>Wohnung 2 (Br)</v>
      </c>
      <c r="C74" s="60">
        <f>VLOOKUP(B74,Liegenschaften!$D$4:$AI$43,4,0)</f>
        <v>2018</v>
      </c>
      <c r="D74" s="60" t="str">
        <f>VLOOKUP(B74,Liegenschaften!$D$4:$AI$43,5,0)</f>
        <v>Erdgas </v>
      </c>
      <c r="E74" s="60" t="str">
        <f>VLOOKUP(B74,Liegenschaften!$D$4:$AI$43,20,0)</f>
        <v>kWh (Gas)</v>
      </c>
      <c r="F74" s="229">
        <f>VLOOKUP(B74,Liegenschaften!$D$4:$AI$43,23,0)</f>
        <v>11354.8</v>
      </c>
      <c r="G74" s="230">
        <f>VLOOKUP(B74,Liegenschaften!$D$4:$AI$43,24,0)</f>
        <v>1021.932</v>
      </c>
      <c r="H74" s="229">
        <f>VLOOKUP(B74,Liegenschaften!$D$4:$AI$43,25,0)</f>
        <v>2270.96</v>
      </c>
      <c r="I74" s="229">
        <f>VLOOKUP(B74,Liegenschaften!$D$4:$AI$43,26,0)</f>
        <v>811.057142857143</v>
      </c>
      <c r="J74" s="229">
        <f>VLOOKUP(B74,Liegenschaften!$D$4:$AI$43,27,0)</f>
        <v>126.164444444444</v>
      </c>
      <c r="K74" s="60">
        <f>VLOOKUP(B74,Liegenschaften!$D$4:$AI$43,27,0)</f>
        <v>126.164444444444</v>
      </c>
      <c r="L74" s="229" t="str">
        <f>VLOOKUP(B74,Liegenschaften!$D$4:$AI$43,28,0)</f>
        <v>D</v>
      </c>
      <c r="M74" s="231">
        <f>VLOOKUP(B74,Liegenschaften!$D$4:$AI$43,29,0)</f>
        <v>126.164444444444</v>
      </c>
    </row>
    <row r="75" spans="1:13" ht="12.75">
      <c r="A75">
        <v>28</v>
      </c>
      <c r="B75" s="228" t="str">
        <f>VLOOKUP(A75,Liegenschaften!$B$4:$AG$43,3,0)</f>
        <v>Wohnung Lange Str. 15 (Al)</v>
      </c>
      <c r="C75" s="60">
        <f>VLOOKUP(B75,Liegenschaften!$D$4:$AI$43,4,0)</f>
        <v>2017</v>
      </c>
      <c r="D75" s="60" t="str">
        <f>VLOOKUP(B75,Liegenschaften!$D$4:$AI$43,5,0)</f>
        <v>Flüssiggas</v>
      </c>
      <c r="E75" s="60" t="str">
        <f>VLOOKUP(B75,Liegenschaften!$D$4:$AI$43,20,0)</f>
        <v>Liter (Fl.gas)</v>
      </c>
      <c r="F75" s="229">
        <f>VLOOKUP(B75,Liegenschaften!$D$4:$AI$43,23,0)</f>
        <v>7557.41626134208</v>
      </c>
      <c r="G75" s="230">
        <f>VLOOKUP(B75,Liegenschaften!$D$4:$AI$43,24,0)</f>
        <v>680.167463520788</v>
      </c>
      <c r="H75" s="229">
        <f>VLOOKUP(B75,Liegenschaften!$D$4:$AI$43,25,0)</f>
        <v>1964.92822794894</v>
      </c>
      <c r="I75" s="229">
        <f>VLOOKUP(B75,Liegenschaften!$D$4:$AI$43,26,0)</f>
        <v>317.538498375718</v>
      </c>
      <c r="J75" s="229">
        <f>VLOOKUP(B75,Liegenschaften!$D$4:$AI$43,27,0)</f>
        <v>72.6674640513662</v>
      </c>
      <c r="K75" s="60">
        <f>VLOOKUP(B75,Liegenschaften!$D$4:$AI$43,27,0)</f>
        <v>72.6674640513662</v>
      </c>
      <c r="L75" s="229" t="str">
        <f>VLOOKUP(B75,Liegenschaften!$D$4:$AI$43,28,0)</f>
        <v>B</v>
      </c>
      <c r="M75" s="231">
        <f>VLOOKUP(B75,Liegenschaften!$D$4:$AI$43,29,0)</f>
        <v>72.6674640513662</v>
      </c>
    </row>
    <row r="76" spans="1:13" ht="12.75">
      <c r="A76">
        <v>29</v>
      </c>
      <c r="B76" s="228" t="e">
        <f>VLOOKUP(A76,Liegenschaften!$B$4:$AG$43,3,0)</f>
        <v>#N/A</v>
      </c>
      <c r="C76" s="60" t="e">
        <f>VLOOKUP(B76,Liegenschaften!$D$4:$AI$43,4,0)</f>
        <v>#N/A</v>
      </c>
      <c r="D76" s="60" t="e">
        <f>VLOOKUP(B76,Liegenschaften!$D$4:$AI$43,5,0)</f>
        <v>#N/A</v>
      </c>
      <c r="E76" s="60" t="e">
        <f>VLOOKUP(B76,Liegenschaften!$D$4:$AI$43,20,0)</f>
        <v>#N/A</v>
      </c>
      <c r="F76" s="229" t="e">
        <f>VLOOKUP(B76,Liegenschaften!$D$4:$AI$43,23,0)</f>
        <v>#N/A</v>
      </c>
      <c r="G76" s="230" t="e">
        <f>VLOOKUP(B76,Liegenschaften!$D$4:$AI$43,24,0)</f>
        <v>#N/A</v>
      </c>
      <c r="H76" s="229" t="e">
        <f>VLOOKUP(B76,Liegenschaften!$D$4:$AI$43,25,0)</f>
        <v>#N/A</v>
      </c>
      <c r="I76" s="229" t="e">
        <f>VLOOKUP(B76,Liegenschaften!$D$4:$AI$43,26,0)</f>
        <v>#N/A</v>
      </c>
      <c r="J76" s="229" t="e">
        <f>VLOOKUP(B76,Liegenschaften!$D$4:$AI$43,27,0)</f>
        <v>#N/A</v>
      </c>
      <c r="K76" s="60" t="e">
        <f>VLOOKUP(B76,Liegenschaften!$D$4:$AI$43,27,0)</f>
        <v>#N/A</v>
      </c>
      <c r="L76" s="229" t="e">
        <f>VLOOKUP(B76,Liegenschaften!$D$4:$AI$43,28,0)</f>
        <v>#N/A</v>
      </c>
      <c r="M76" s="231" t="e">
        <f>VLOOKUP(B76,Liegenschaften!$D$4:$AI$43,29,0)</f>
        <v>#N/A</v>
      </c>
    </row>
    <row r="77" spans="1:13" ht="12.75">
      <c r="A77">
        <v>30</v>
      </c>
      <c r="B77" s="228" t="e">
        <f>VLOOKUP(A77,Liegenschaften!$B$4:$AG$43,3,0)</f>
        <v>#N/A</v>
      </c>
      <c r="C77" s="60" t="e">
        <f>VLOOKUP(B77,Liegenschaften!$D$4:$AI$43,4,0)</f>
        <v>#N/A</v>
      </c>
      <c r="D77" s="60" t="e">
        <f>VLOOKUP(B77,Liegenschaften!$D$4:$AI$43,5,0)</f>
        <v>#N/A</v>
      </c>
      <c r="E77" s="60" t="e">
        <f>VLOOKUP(B77,Liegenschaften!$D$4:$AI$43,20,0)</f>
        <v>#N/A</v>
      </c>
      <c r="F77" s="229" t="e">
        <f>VLOOKUP(B77,Liegenschaften!$D$4:$AI$43,23,0)</f>
        <v>#N/A</v>
      </c>
      <c r="G77" s="230" t="e">
        <f>VLOOKUP(B77,Liegenschaften!$D$4:$AI$43,24,0)</f>
        <v>#N/A</v>
      </c>
      <c r="H77" s="229" t="e">
        <f>VLOOKUP(B77,Liegenschaften!$D$4:$AI$43,25,0)</f>
        <v>#N/A</v>
      </c>
      <c r="I77" s="229" t="e">
        <f>VLOOKUP(B77,Liegenschaften!$D$4:$AI$43,26,0)</f>
        <v>#N/A</v>
      </c>
      <c r="J77" s="229" t="e">
        <f>VLOOKUP(B77,Liegenschaften!$D$4:$AI$43,27,0)</f>
        <v>#N/A</v>
      </c>
      <c r="K77" s="60" t="e">
        <f>VLOOKUP(B77,Liegenschaften!$D$4:$AI$43,27,0)</f>
        <v>#N/A</v>
      </c>
      <c r="L77" s="229" t="e">
        <f>VLOOKUP(B77,Liegenschaften!$D$4:$AI$43,28,0)</f>
        <v>#N/A</v>
      </c>
      <c r="M77" s="231" t="e">
        <f>VLOOKUP(B77,Liegenschaften!$D$4:$AI$43,29,0)</f>
        <v>#N/A</v>
      </c>
    </row>
    <row r="78" spans="1:13" ht="12.75">
      <c r="A78">
        <v>31</v>
      </c>
      <c r="B78" s="228" t="e">
        <f>VLOOKUP(A78,Liegenschaften!$B$4:$AG$43,3,0)</f>
        <v>#N/A</v>
      </c>
      <c r="C78" s="60" t="e">
        <f>VLOOKUP(B78,Liegenschaften!$D$4:$AI$43,4,0)</f>
        <v>#N/A</v>
      </c>
      <c r="D78" s="60" t="e">
        <f>VLOOKUP(B78,Liegenschaften!$D$4:$AI$43,5,0)</f>
        <v>#N/A</v>
      </c>
      <c r="E78" s="60" t="e">
        <f>VLOOKUP(B78,Liegenschaften!$D$4:$AI$43,20,0)</f>
        <v>#N/A</v>
      </c>
      <c r="F78" s="229" t="e">
        <f>VLOOKUP(B78,Liegenschaften!$D$4:$AI$43,23,0)</f>
        <v>#N/A</v>
      </c>
      <c r="G78" s="230" t="e">
        <f>VLOOKUP(B78,Liegenschaften!$D$4:$AI$43,24,0)</f>
        <v>#N/A</v>
      </c>
      <c r="H78" s="229" t="e">
        <f>VLOOKUP(B78,Liegenschaften!$D$4:$AI$43,25,0)</f>
        <v>#N/A</v>
      </c>
      <c r="I78" s="229" t="e">
        <f>VLOOKUP(B78,Liegenschaften!$D$4:$AI$43,26,0)</f>
        <v>#N/A</v>
      </c>
      <c r="J78" s="229" t="e">
        <f>VLOOKUP(B78,Liegenschaften!$D$4:$AI$43,27,0)</f>
        <v>#N/A</v>
      </c>
      <c r="K78" s="60" t="e">
        <f>VLOOKUP(B78,Liegenschaften!$D$4:$AI$43,27,0)</f>
        <v>#N/A</v>
      </c>
      <c r="L78" s="229" t="e">
        <f>VLOOKUP(B78,Liegenschaften!$D$4:$AI$43,28,0)</f>
        <v>#N/A</v>
      </c>
      <c r="M78" s="231" t="e">
        <f>VLOOKUP(B78,Liegenschaften!$D$4:$AI$43,29,0)</f>
        <v>#N/A</v>
      </c>
    </row>
    <row r="79" spans="1:13" ht="12.75">
      <c r="A79">
        <v>32</v>
      </c>
      <c r="B79" s="228" t="e">
        <f>VLOOKUP(A79,Liegenschaften!$B$4:$AG$43,3,0)</f>
        <v>#N/A</v>
      </c>
      <c r="C79" s="60" t="e">
        <f>VLOOKUP(B79,Liegenschaften!$D$4:$AI$43,4,0)</f>
        <v>#N/A</v>
      </c>
      <c r="D79" s="60" t="e">
        <f>VLOOKUP(B79,Liegenschaften!$D$4:$AI$43,5,0)</f>
        <v>#N/A</v>
      </c>
      <c r="E79" s="60" t="e">
        <f>VLOOKUP(B79,Liegenschaften!$D$4:$AI$43,20,0)</f>
        <v>#N/A</v>
      </c>
      <c r="F79" s="229" t="e">
        <f>VLOOKUP(B79,Liegenschaften!$D$4:$AI$43,23,0)</f>
        <v>#N/A</v>
      </c>
      <c r="G79" s="230" t="e">
        <f>VLOOKUP(B79,Liegenschaften!$D$4:$AI$43,24,0)</f>
        <v>#N/A</v>
      </c>
      <c r="H79" s="229" t="e">
        <f>VLOOKUP(B79,Liegenschaften!$D$4:$AI$43,25,0)</f>
        <v>#N/A</v>
      </c>
      <c r="I79" s="229" t="e">
        <f>VLOOKUP(B79,Liegenschaften!$D$4:$AI$43,26,0)</f>
        <v>#N/A</v>
      </c>
      <c r="J79" s="229" t="e">
        <f>VLOOKUP(B79,Liegenschaften!$D$4:$AI$43,27,0)</f>
        <v>#N/A</v>
      </c>
      <c r="K79" s="60" t="e">
        <f>VLOOKUP(B79,Liegenschaften!$D$4:$AI$43,27,0)</f>
        <v>#N/A</v>
      </c>
      <c r="L79" s="229" t="e">
        <f>VLOOKUP(B79,Liegenschaften!$D$4:$AI$43,28,0)</f>
        <v>#N/A</v>
      </c>
      <c r="M79" s="231" t="e">
        <f>VLOOKUP(B79,Liegenschaften!$D$4:$AI$43,29,0)</f>
        <v>#N/A</v>
      </c>
    </row>
    <row r="80" spans="1:13" ht="12.75">
      <c r="A80">
        <v>33</v>
      </c>
      <c r="B80" s="228" t="e">
        <f>VLOOKUP(A80,Liegenschaften!$B$4:$AG$43,3,0)</f>
        <v>#N/A</v>
      </c>
      <c r="C80" s="60" t="e">
        <f>VLOOKUP(B80,Liegenschaften!$D$4:$AI$43,4,0)</f>
        <v>#N/A</v>
      </c>
      <c r="D80" s="60" t="e">
        <f>VLOOKUP(B80,Liegenschaften!$D$4:$AI$43,5,0)</f>
        <v>#N/A</v>
      </c>
      <c r="E80" s="60" t="e">
        <f>VLOOKUP(B80,Liegenschaften!$D$4:$AI$43,20,0)</f>
        <v>#N/A</v>
      </c>
      <c r="F80" s="229" t="e">
        <f>VLOOKUP(B80,Liegenschaften!$D$4:$AI$43,23,0)</f>
        <v>#N/A</v>
      </c>
      <c r="G80" s="230" t="e">
        <f>VLOOKUP(B80,Liegenschaften!$D$4:$AI$43,24,0)</f>
        <v>#N/A</v>
      </c>
      <c r="H80" s="229" t="e">
        <f>VLOOKUP(B80,Liegenschaften!$D$4:$AI$43,25,0)</f>
        <v>#N/A</v>
      </c>
      <c r="I80" s="229" t="e">
        <f>VLOOKUP(B80,Liegenschaften!$D$4:$AI$43,26,0)</f>
        <v>#N/A</v>
      </c>
      <c r="J80" s="229" t="e">
        <f>VLOOKUP(B80,Liegenschaften!$D$4:$AI$43,27,0)</f>
        <v>#N/A</v>
      </c>
      <c r="K80" s="60" t="e">
        <f>VLOOKUP(B80,Liegenschaften!$D$4:$AI$43,27,0)</f>
        <v>#N/A</v>
      </c>
      <c r="L80" s="229" t="e">
        <f>VLOOKUP(B80,Liegenschaften!$D$4:$AI$43,28,0)</f>
        <v>#N/A</v>
      </c>
      <c r="M80" s="231" t="e">
        <f>VLOOKUP(B80,Liegenschaften!$D$4:$AI$43,29,0)</f>
        <v>#N/A</v>
      </c>
    </row>
    <row r="81" spans="1:13" ht="12.75">
      <c r="A81">
        <v>34</v>
      </c>
      <c r="B81" s="228" t="e">
        <f>VLOOKUP(A81,Liegenschaften!$B$4:$AG$43,3,0)</f>
        <v>#N/A</v>
      </c>
      <c r="C81" s="60" t="e">
        <f>VLOOKUP(B81,Liegenschaften!$D$4:$AI$43,4,0)</f>
        <v>#N/A</v>
      </c>
      <c r="D81" s="60" t="e">
        <f>VLOOKUP(B81,Liegenschaften!$D$4:$AI$43,5,0)</f>
        <v>#N/A</v>
      </c>
      <c r="E81" s="60" t="e">
        <f>VLOOKUP(B81,Liegenschaften!$D$4:$AI$43,20,0)</f>
        <v>#N/A</v>
      </c>
      <c r="F81" s="229" t="e">
        <f>VLOOKUP(B81,Liegenschaften!$D$4:$AI$43,23,0)</f>
        <v>#N/A</v>
      </c>
      <c r="G81" s="230" t="e">
        <f>VLOOKUP(B81,Liegenschaften!$D$4:$AI$43,24,0)</f>
        <v>#N/A</v>
      </c>
      <c r="H81" s="229" t="e">
        <f>VLOOKUP(B81,Liegenschaften!$D$4:$AI$43,25,0)</f>
        <v>#N/A</v>
      </c>
      <c r="I81" s="229" t="e">
        <f>VLOOKUP(B81,Liegenschaften!$D$4:$AI$43,26,0)</f>
        <v>#N/A</v>
      </c>
      <c r="J81" s="229" t="e">
        <f>VLOOKUP(B81,Liegenschaften!$D$4:$AI$43,27,0)</f>
        <v>#N/A</v>
      </c>
      <c r="K81" s="60" t="e">
        <f>VLOOKUP(B81,Liegenschaften!$D$4:$AI$43,27,0)</f>
        <v>#N/A</v>
      </c>
      <c r="L81" s="229" t="e">
        <f>VLOOKUP(B81,Liegenschaften!$D$4:$AI$43,28,0)</f>
        <v>#N/A</v>
      </c>
      <c r="M81" s="231" t="e">
        <f>VLOOKUP(B81,Liegenschaften!$D$4:$AI$43,29,0)</f>
        <v>#N/A</v>
      </c>
    </row>
    <row r="82" spans="1:13" ht="12.75">
      <c r="A82">
        <v>35</v>
      </c>
      <c r="B82" s="228" t="e">
        <f>VLOOKUP(A82,Liegenschaften!$B$4:$AG$43,3,0)</f>
        <v>#N/A</v>
      </c>
      <c r="C82" s="60" t="e">
        <f>VLOOKUP(B82,Liegenschaften!$D$4:$AI$43,4,0)</f>
        <v>#N/A</v>
      </c>
      <c r="D82" s="60" t="e">
        <f>VLOOKUP(B82,Liegenschaften!$D$4:$AI$43,5,0)</f>
        <v>#N/A</v>
      </c>
      <c r="E82" s="60" t="e">
        <f>VLOOKUP(B82,Liegenschaften!$D$4:$AI$43,20,0)</f>
        <v>#N/A</v>
      </c>
      <c r="F82" s="229" t="e">
        <f>VLOOKUP(B82,Liegenschaften!$D$4:$AI$43,23,0)</f>
        <v>#N/A</v>
      </c>
      <c r="G82" s="230" t="e">
        <f>VLOOKUP(B82,Liegenschaften!$D$4:$AI$43,24,0)</f>
        <v>#N/A</v>
      </c>
      <c r="H82" s="229" t="e">
        <f>VLOOKUP(B82,Liegenschaften!$D$4:$AI$43,25,0)</f>
        <v>#N/A</v>
      </c>
      <c r="I82" s="229" t="e">
        <f>VLOOKUP(B82,Liegenschaften!$D$4:$AI$43,26,0)</f>
        <v>#N/A</v>
      </c>
      <c r="J82" s="229" t="e">
        <f>VLOOKUP(B82,Liegenschaften!$D$4:$AI$43,27,0)</f>
        <v>#N/A</v>
      </c>
      <c r="K82" s="60" t="e">
        <f>VLOOKUP(B82,Liegenschaften!$D$4:$AI$43,27,0)</f>
        <v>#N/A</v>
      </c>
      <c r="L82" s="229" t="e">
        <f>VLOOKUP(B82,Liegenschaften!$D$4:$AI$43,28,0)</f>
        <v>#N/A</v>
      </c>
      <c r="M82" s="231" t="e">
        <f>VLOOKUP(B82,Liegenschaften!$D$4:$AI$43,29,0)</f>
        <v>#N/A</v>
      </c>
    </row>
    <row r="83" spans="1:13" ht="12.75">
      <c r="A83">
        <v>36</v>
      </c>
      <c r="B83" s="228" t="e">
        <f>VLOOKUP(A83,Liegenschaften!$B$4:$AG$43,3,0)</f>
        <v>#N/A</v>
      </c>
      <c r="C83" s="60" t="e">
        <f>VLOOKUP(B83,Liegenschaften!$D$4:$AI$43,4,0)</f>
        <v>#N/A</v>
      </c>
      <c r="D83" s="60" t="e">
        <f>VLOOKUP(B83,Liegenschaften!$D$4:$AI$43,5,0)</f>
        <v>#N/A</v>
      </c>
      <c r="E83" s="60" t="e">
        <f>VLOOKUP(B83,Liegenschaften!$D$4:$AI$43,20,0)</f>
        <v>#N/A</v>
      </c>
      <c r="F83" s="229" t="e">
        <f>VLOOKUP(B83,Liegenschaften!$D$4:$AI$43,23,0)</f>
        <v>#N/A</v>
      </c>
      <c r="G83" s="230" t="e">
        <f>VLOOKUP(B83,Liegenschaften!$D$4:$AI$43,24,0)</f>
        <v>#N/A</v>
      </c>
      <c r="H83" s="229" t="e">
        <f>VLOOKUP(B83,Liegenschaften!$D$4:$AI$43,25,0)</f>
        <v>#N/A</v>
      </c>
      <c r="I83" s="229" t="e">
        <f>VLOOKUP(B83,Liegenschaften!$D$4:$AI$43,26,0)</f>
        <v>#N/A</v>
      </c>
      <c r="J83" s="229" t="e">
        <f>VLOOKUP(B83,Liegenschaften!$D$4:$AI$43,27,0)</f>
        <v>#N/A</v>
      </c>
      <c r="K83" s="60" t="e">
        <f>VLOOKUP(B83,Liegenschaften!$D$4:$AI$43,27,0)</f>
        <v>#N/A</v>
      </c>
      <c r="L83" s="229" t="e">
        <f>VLOOKUP(B83,Liegenschaften!$D$4:$AI$43,28,0)</f>
        <v>#N/A</v>
      </c>
      <c r="M83" s="231" t="e">
        <f>VLOOKUP(B83,Liegenschaften!$D$4:$AI$43,29,0)</f>
        <v>#N/A</v>
      </c>
    </row>
    <row r="84" spans="1:13" ht="12.75">
      <c r="A84">
        <v>37</v>
      </c>
      <c r="B84" s="228" t="e">
        <f>VLOOKUP(A84,Liegenschaften!$B$4:$AG$43,3,0)</f>
        <v>#N/A</v>
      </c>
      <c r="C84" s="60" t="e">
        <f>VLOOKUP(B84,Liegenschaften!$D$4:$AI$43,4,0)</f>
        <v>#N/A</v>
      </c>
      <c r="D84" s="60" t="e">
        <f>VLOOKUP(B84,Liegenschaften!$D$4:$AI$43,5,0)</f>
        <v>#N/A</v>
      </c>
      <c r="E84" s="60" t="e">
        <f>VLOOKUP(B84,Liegenschaften!$D$4:$AI$43,20,0)</f>
        <v>#N/A</v>
      </c>
      <c r="F84" s="229" t="e">
        <f>VLOOKUP(B84,Liegenschaften!$D$4:$AI$43,23,0)</f>
        <v>#N/A</v>
      </c>
      <c r="G84" s="230" t="e">
        <f>VLOOKUP(B84,Liegenschaften!$D$4:$AI$43,24,0)</f>
        <v>#N/A</v>
      </c>
      <c r="H84" s="229" t="e">
        <f>VLOOKUP(B84,Liegenschaften!$D$4:$AI$43,25,0)</f>
        <v>#N/A</v>
      </c>
      <c r="I84" s="229" t="e">
        <f>VLOOKUP(B84,Liegenschaften!$D$4:$AI$43,26,0)</f>
        <v>#N/A</v>
      </c>
      <c r="J84" s="229" t="e">
        <f>VLOOKUP(B84,Liegenschaften!$D$4:$AI$43,27,0)</f>
        <v>#N/A</v>
      </c>
      <c r="K84" s="60" t="e">
        <f>VLOOKUP(B84,Liegenschaften!$D$4:$AI$43,27,0)</f>
        <v>#N/A</v>
      </c>
      <c r="L84" s="229" t="e">
        <f>VLOOKUP(B84,Liegenschaften!$D$4:$AI$43,28,0)</f>
        <v>#N/A</v>
      </c>
      <c r="M84" s="231" t="e">
        <f>VLOOKUP(B84,Liegenschaften!$D$4:$AI$43,29,0)</f>
        <v>#N/A</v>
      </c>
    </row>
    <row r="85" spans="1:13" ht="12.75">
      <c r="A85">
        <v>38</v>
      </c>
      <c r="B85" s="228" t="e">
        <f>VLOOKUP(A85,Liegenschaften!$B$4:$AG$43,3,0)</f>
        <v>#N/A</v>
      </c>
      <c r="C85" s="60" t="e">
        <f>VLOOKUP(B85,Liegenschaften!$D$4:$AI$43,4,0)</f>
        <v>#N/A</v>
      </c>
      <c r="D85" s="60" t="e">
        <f>VLOOKUP(B85,Liegenschaften!$D$4:$AI$43,5,0)</f>
        <v>#N/A</v>
      </c>
      <c r="E85" s="60" t="e">
        <f>VLOOKUP(B85,Liegenschaften!$D$4:$AI$43,20,0)</f>
        <v>#N/A</v>
      </c>
      <c r="F85" s="229" t="e">
        <f>VLOOKUP(B85,Liegenschaften!$D$4:$AI$43,23,0)</f>
        <v>#N/A</v>
      </c>
      <c r="G85" s="230" t="e">
        <f>VLOOKUP(B85,Liegenschaften!$D$4:$AI$43,24,0)</f>
        <v>#N/A</v>
      </c>
      <c r="H85" s="229" t="e">
        <f>VLOOKUP(B85,Liegenschaften!$D$4:$AI$43,25,0)</f>
        <v>#N/A</v>
      </c>
      <c r="I85" s="229" t="e">
        <f>VLOOKUP(B85,Liegenschaften!$D$4:$AI$43,26,0)</f>
        <v>#N/A</v>
      </c>
      <c r="J85" s="229" t="e">
        <f>VLOOKUP(B85,Liegenschaften!$D$4:$AI$43,27,0)</f>
        <v>#N/A</v>
      </c>
      <c r="K85" s="60" t="e">
        <f>VLOOKUP(B85,Liegenschaften!$D$4:$AI$43,27,0)</f>
        <v>#N/A</v>
      </c>
      <c r="L85" s="229" t="e">
        <f>VLOOKUP(B85,Liegenschaften!$D$4:$AI$43,28,0)</f>
        <v>#N/A</v>
      </c>
      <c r="M85" s="231" t="e">
        <f>VLOOKUP(B85,Liegenschaften!$D$4:$AI$43,29,0)</f>
        <v>#N/A</v>
      </c>
    </row>
    <row r="86" spans="1:13" ht="12.75">
      <c r="A86">
        <v>39</v>
      </c>
      <c r="B86" s="228" t="e">
        <f>VLOOKUP(A86,Liegenschaften!$B$4:$AG$43,3,0)</f>
        <v>#N/A</v>
      </c>
      <c r="C86" s="60" t="e">
        <f>VLOOKUP(B86,Liegenschaften!$D$4:$AI$43,4,0)</f>
        <v>#N/A</v>
      </c>
      <c r="D86" s="60" t="e">
        <f>VLOOKUP(B86,Liegenschaften!$D$4:$AI$43,5,0)</f>
        <v>#N/A</v>
      </c>
      <c r="E86" s="60" t="e">
        <f>VLOOKUP(B86,Liegenschaften!$D$4:$AI$43,20,0)</f>
        <v>#N/A</v>
      </c>
      <c r="F86" s="229" t="e">
        <f>VLOOKUP(B86,Liegenschaften!$D$4:$AI$43,23,0)</f>
        <v>#N/A</v>
      </c>
      <c r="G86" s="230" t="e">
        <f>VLOOKUP(B86,Liegenschaften!$D$4:$AI$43,24,0)</f>
        <v>#N/A</v>
      </c>
      <c r="H86" s="229" t="e">
        <f>VLOOKUP(B86,Liegenschaften!$D$4:$AI$43,25,0)</f>
        <v>#N/A</v>
      </c>
      <c r="I86" s="229" t="e">
        <f>VLOOKUP(B86,Liegenschaften!$D$4:$AI$43,26,0)</f>
        <v>#N/A</v>
      </c>
      <c r="J86" s="229" t="e">
        <f>VLOOKUP(B86,Liegenschaften!$D$4:$AI$43,27,0)</f>
        <v>#N/A</v>
      </c>
      <c r="K86" s="60" t="e">
        <f>VLOOKUP(B86,Liegenschaften!$D$4:$AI$43,27,0)</f>
        <v>#N/A</v>
      </c>
      <c r="L86" s="229" t="e">
        <f>VLOOKUP(B86,Liegenschaften!$D$4:$AI$43,28,0)</f>
        <v>#N/A</v>
      </c>
      <c r="M86" s="231" t="e">
        <f>VLOOKUP(B86,Liegenschaften!$D$4:$AI$43,29,0)</f>
        <v>#N/A</v>
      </c>
    </row>
    <row r="87" spans="1:13" ht="12.8">
      <c r="A87">
        <v>40</v>
      </c>
      <c r="B87" s="232" t="e">
        <f>VLOOKUP(A87,Liegenschaften!$B$4:$AG$43,3,0)</f>
        <v>#N/A</v>
      </c>
      <c r="C87" s="233" t="e">
        <f>VLOOKUP(B87,Liegenschaften!$D$4:$AI$43,4,0)</f>
        <v>#N/A</v>
      </c>
      <c r="D87" s="233" t="e">
        <f>VLOOKUP(B87,Liegenschaften!$D$4:$AI$43,5,0)</f>
        <v>#N/A</v>
      </c>
      <c r="E87" s="233" t="e">
        <f>VLOOKUP(B87,Liegenschaften!$D$4:$AI$43,20,0)</f>
        <v>#N/A</v>
      </c>
      <c r="F87" s="234" t="e">
        <f>VLOOKUP(B87,Liegenschaften!$D$4:$AI$43,23,0)</f>
        <v>#N/A</v>
      </c>
      <c r="G87" s="235" t="e">
        <f>VLOOKUP(B87,Liegenschaften!$D$4:$AI$43,24,0)</f>
        <v>#N/A</v>
      </c>
      <c r="H87" s="234" t="e">
        <f>VLOOKUP(B87,Liegenschaften!$D$4:$AI$43,25,0)</f>
        <v>#N/A</v>
      </c>
      <c r="I87" s="234" t="e">
        <f>VLOOKUP(B87,Liegenschaften!$D$4:$AI$43,26,0)</f>
        <v>#N/A</v>
      </c>
      <c r="J87" s="234" t="e">
        <f>VLOOKUP(B87,Liegenschaften!$D$4:$AI$43,27,0)</f>
        <v>#N/A</v>
      </c>
      <c r="K87" s="233" t="e">
        <f>VLOOKUP(B87,Liegenschaften!$D$4:$AI$43,27,0)</f>
        <v>#N/A</v>
      </c>
      <c r="L87" s="234" t="e">
        <f>VLOOKUP(B87,Liegenschaften!$D$4:$AI$43,28,0)</f>
        <v>#N/A</v>
      </c>
      <c r="M87" s="236" t="e">
        <f>VLOOKUP(B87,Liegenschaften!$D$4:$AI$43,29,0)</f>
        <v>#N/A</v>
      </c>
    </row>
    <row r="90" spans="2:4" ht="18.75">
      <c r="B90" s="20" t="s">
        <v>384</v>
      </c>
      <c r="C90" s="65"/>
      <c r="D90" s="66"/>
    </row>
    <row r="91" spans="2:13" ht="60">
      <c r="B91" s="223" t="s">
        <v>378</v>
      </c>
      <c r="C91" s="224" t="s">
        <v>379</v>
      </c>
      <c r="D91" s="225" t="s">
        <v>146</v>
      </c>
      <c r="E91" s="226" t="s">
        <v>161</v>
      </c>
      <c r="F91" s="226" t="s">
        <v>164</v>
      </c>
      <c r="G91" s="226" t="s">
        <v>380</v>
      </c>
      <c r="H91" s="226" t="s">
        <v>166</v>
      </c>
      <c r="I91" s="226" t="s">
        <v>381</v>
      </c>
      <c r="J91" s="226" t="s">
        <v>168</v>
      </c>
      <c r="K91" s="226" t="s">
        <v>169</v>
      </c>
      <c r="L91" s="226" t="s">
        <v>170</v>
      </c>
      <c r="M91" s="227" t="s">
        <v>171</v>
      </c>
    </row>
    <row r="92" spans="1:13" ht="12.75">
      <c r="A92">
        <v>1</v>
      </c>
      <c r="B92" s="228" t="str">
        <f>VLOOKUP(A92,Liegenschaften!$C$4:$AG$43,2,0)</f>
        <v>Kurparktreff (Br)</v>
      </c>
      <c r="C92" s="60">
        <f>VLOOKUP(B92,Liegenschaften!$D$4:$AI$43,4,0)</f>
        <v>1990</v>
      </c>
      <c r="D92" s="60" t="str">
        <f>VLOOKUP(B92,Liegenschaften!$D$4:$AI$43,5,0)</f>
        <v>Erdgas </v>
      </c>
      <c r="E92" s="60" t="str">
        <f>VLOOKUP(B92,Liegenschaften!$D$4:$AI$43,20,0)</f>
        <v>kWh (Gas)</v>
      </c>
      <c r="F92" s="229">
        <f>VLOOKUP(B92,Liegenschaften!$D$4:$AI$43,23,0)</f>
        <v>32464.6</v>
      </c>
      <c r="G92" s="230">
        <f>VLOOKUP(B92,Liegenschaften!$D$4:$AI$43,24,0)</f>
        <v>2921.814</v>
      </c>
      <c r="H92" s="229">
        <f>VLOOKUP(B92,Liegenschaften!$D$4:$AI$43,25,0)</f>
        <v>6492.92</v>
      </c>
      <c r="I92" s="229">
        <f>VLOOKUP(B92,Liegenschaften!$D$4:$AI$43,26,0)</f>
        <v>1352.69166666667</v>
      </c>
      <c r="J92" s="229">
        <f>VLOOKUP(B92,Liegenschaften!$D$4:$AI$43,27,0)</f>
        <v>124.863846153846</v>
      </c>
      <c r="K92" s="60">
        <f>VLOOKUP(B92,Liegenschaften!$D$4:$AI$43,27,0)</f>
        <v>124.863846153846</v>
      </c>
      <c r="L92" s="229" t="str">
        <f>VLOOKUP(B92,Liegenschaften!$D$4:$AI$43,28,0)</f>
        <v>D</v>
      </c>
      <c r="M92" s="231">
        <f>VLOOKUP(B92,Liegenschaften!$D$4:$AI$43,29,0)</f>
        <v>832.425641025641</v>
      </c>
    </row>
    <row r="93" spans="1:13" ht="12.75">
      <c r="A93">
        <v>2</v>
      </c>
      <c r="B93" s="228" t="str">
        <f>VLOOKUP(A93,Liegenschaften!$C$4:$AG$43,2,0)</f>
        <v>MZH (Ti)</v>
      </c>
      <c r="C93" s="60">
        <f>VLOOKUP(B93,Liegenschaften!$D$4:$AI$43,4,0)</f>
        <v>2018</v>
      </c>
      <c r="D93" s="60" t="str">
        <f>VLOOKUP(B93,Liegenschaften!$D$4:$AI$43,5,0)</f>
        <v>Öl</v>
      </c>
      <c r="E93" s="60" t="str">
        <f>VLOOKUP(B93,Liegenschaften!$D$4:$AI$43,20,0)</f>
        <v>Liter (Öl)</v>
      </c>
      <c r="F93" s="229">
        <f>VLOOKUP(B93,Liegenschaften!$D$4:$AI$43,23,0)</f>
        <v>115458</v>
      </c>
      <c r="G93" s="230">
        <f>VLOOKUP(B93,Liegenschaften!$D$4:$AI$43,24,0)</f>
        <v>11545.8</v>
      </c>
      <c r="H93" s="229">
        <f>VLOOKUP(B93,Liegenschaften!$D$4:$AI$43,25,0)</f>
        <v>31173.66</v>
      </c>
      <c r="I93" s="229">
        <f>VLOOKUP(B93,Liegenschaften!$D$4:$AI$43,26,0)</f>
        <v>796.262068965517</v>
      </c>
      <c r="J93" s="229">
        <f>VLOOKUP(B93,Liegenschaften!$D$4:$AI$43,27,0)</f>
        <v>192.109816971714</v>
      </c>
      <c r="K93" s="60">
        <f>VLOOKUP(B93,Liegenschaften!$D$4:$AI$43,27,0)</f>
        <v>192.109816971714</v>
      </c>
      <c r="L93" s="229" t="str">
        <f>VLOOKUP(B93,Liegenschaften!$D$4:$AI$43,28,0)</f>
        <v>F</v>
      </c>
      <c r="M93" s="231">
        <f>VLOOKUP(B93,Liegenschaften!$D$4:$AI$43,29,0)</f>
        <v>768.439267886855</v>
      </c>
    </row>
    <row r="94" spans="1:13" ht="12.75">
      <c r="A94">
        <v>3</v>
      </c>
      <c r="B94" s="228" t="str">
        <f>VLOOKUP(A94,Liegenschaften!$C$4:$AG$43,2,0)</f>
        <v>Haus des Gastes, Seminargebäude (Br)</v>
      </c>
      <c r="C94" s="60" t="str">
        <f>VLOOKUP(B94,Liegenschaften!$D$4:$AI$43,4,0)</f>
        <v>1991/
1993</v>
      </c>
      <c r="D94" s="60" t="str">
        <f>VLOOKUP(B94,Liegenschaften!$D$4:$AI$43,5,0)</f>
        <v>Erdgas</v>
      </c>
      <c r="E94" s="60" t="str">
        <f>VLOOKUP(B94,Liegenschaften!$D$4:$AI$43,20,0)</f>
        <v>kWh (Gas)</v>
      </c>
      <c r="F94" s="229">
        <f>VLOOKUP(B94,Liegenschaften!$D$4:$AI$43,23,0)</f>
        <v>256518.6</v>
      </c>
      <c r="G94" s="230">
        <f>VLOOKUP(B94,Liegenschaften!$D$4:$AI$43,24,0)</f>
        <v>23086.674</v>
      </c>
      <c r="H94" s="229">
        <f>VLOOKUP(B94,Liegenschaften!$D$4:$AI$43,25,0)</f>
        <v>51303.72</v>
      </c>
      <c r="I94" s="229">
        <f>VLOOKUP(B94,Liegenschaften!$D$4:$AI$43,26,0)</f>
        <v>791.235657001851</v>
      </c>
      <c r="J94" s="229">
        <f>VLOOKUP(B94,Liegenschaften!$D$4:$AI$43,27,0)</f>
        <v>158.540543881335</v>
      </c>
      <c r="K94" s="60">
        <f>VLOOKUP(B94,Liegenschaften!$D$4:$AI$43,27,0)</f>
        <v>158.540543881335</v>
      </c>
      <c r="L94" s="229" t="str">
        <f>VLOOKUP(B94,Liegenschaften!$D$4:$AI$43,28,0)</f>
        <v>E</v>
      </c>
      <c r="M94" s="231">
        <f>VLOOKUP(B94,Liegenschaften!$D$4:$AI$43,29,0)</f>
        <v>634.16217552534</v>
      </c>
    </row>
    <row r="95" spans="1:13" ht="12.75">
      <c r="A95">
        <v>4</v>
      </c>
      <c r="B95" s="228" t="str">
        <f>VLOOKUP(A95,Liegenschaften!$C$4:$AG$43,2,0)</f>
        <v>Gymnastikhalle (Ne)</v>
      </c>
      <c r="C95" s="60">
        <f>VLOOKUP(B95,Liegenschaften!$D$4:$AI$43,4,0)</f>
        <v>2019</v>
      </c>
      <c r="D95" s="60" t="str">
        <f>VLOOKUP(B95,Liegenschaften!$D$4:$AI$43,5,0)</f>
        <v>Öl</v>
      </c>
      <c r="E95" s="60" t="str">
        <f>VLOOKUP(B95,Liegenschaften!$D$4:$AI$43,20,0)</f>
        <v>Liter (Öl)</v>
      </c>
      <c r="F95" s="229">
        <f>VLOOKUP(B95,Liegenschaften!$D$4:$AI$43,23,0)</f>
        <v>69162.5</v>
      </c>
      <c r="G95" s="230">
        <f>VLOOKUP(B95,Liegenschaften!$D$4:$AI$43,24,0)</f>
        <v>6916.25</v>
      </c>
      <c r="H95" s="229">
        <f>VLOOKUP(B95,Liegenschaften!$D$4:$AI$43,25,0)</f>
        <v>18673.875</v>
      </c>
      <c r="I95" s="229">
        <f>VLOOKUP(B95,Liegenschaften!$D$4:$AI$43,26,0)</f>
        <v>1158.50083752094</v>
      </c>
      <c r="J95" s="229">
        <f>VLOOKUP(B95,Liegenschaften!$D$4:$AI$43,27,0)</f>
        <v>145.605263157895</v>
      </c>
      <c r="K95" s="60">
        <f>VLOOKUP(B95,Liegenschaften!$D$4:$AI$43,27,0)</f>
        <v>145.605263157895</v>
      </c>
      <c r="L95" s="229" t="str">
        <f>VLOOKUP(B95,Liegenschaften!$D$4:$AI$43,28,0)</f>
        <v>E</v>
      </c>
      <c r="M95" s="231">
        <f>VLOOKUP(B95,Liegenschaften!$D$4:$AI$43,29,0)</f>
        <v>582.421052631579</v>
      </c>
    </row>
    <row r="96" spans="1:13" ht="12.75">
      <c r="A96">
        <v>5</v>
      </c>
      <c r="B96" s="228" t="e">
        <f>VLOOKUP(A96,Liegenschaften!$C$4:$AG$43,2,0)</f>
        <v>#N/A</v>
      </c>
      <c r="C96" s="60" t="e">
        <f>VLOOKUP(B96,Liegenschaften!$D$4:$AI$43,4,0)</f>
        <v>#N/A</v>
      </c>
      <c r="D96" s="60" t="e">
        <f>VLOOKUP(B96,Liegenschaften!$D$4:$AI$43,5,0)</f>
        <v>#N/A</v>
      </c>
      <c r="E96" s="60" t="e">
        <f>VLOOKUP(B96,Liegenschaften!$D$4:$AI$43,20,0)</f>
        <v>#N/A</v>
      </c>
      <c r="F96" s="229" t="e">
        <f>VLOOKUP(B96,Liegenschaften!$D$4:$AI$43,23,0)</f>
        <v>#N/A</v>
      </c>
      <c r="G96" s="230" t="e">
        <f>VLOOKUP(B96,Liegenschaften!$D$4:$AI$43,24,0)</f>
        <v>#N/A</v>
      </c>
      <c r="H96" s="229" t="e">
        <f>VLOOKUP(B96,Liegenschaften!$D$4:$AI$43,25,0)</f>
        <v>#N/A</v>
      </c>
      <c r="I96" s="229" t="e">
        <f>VLOOKUP(B96,Liegenschaften!$D$4:$AI$43,26,0)</f>
        <v>#N/A</v>
      </c>
      <c r="J96" s="229" t="e">
        <f>VLOOKUP(B96,Liegenschaften!$D$4:$AI$43,27,0)</f>
        <v>#N/A</v>
      </c>
      <c r="K96" s="60" t="e">
        <f>VLOOKUP(B96,Liegenschaften!$D$4:$AI$43,27,0)</f>
        <v>#N/A</v>
      </c>
      <c r="L96" s="229" t="e">
        <f>VLOOKUP(B96,Liegenschaften!$D$4:$AI$43,28,0)</f>
        <v>#N/A</v>
      </c>
      <c r="M96" s="231" t="e">
        <f>VLOOKUP(B96,Liegenschaften!$D$4:$AI$43,29,0)</f>
        <v>#N/A</v>
      </c>
    </row>
    <row r="97" spans="1:13" ht="12.75">
      <c r="A97">
        <v>6</v>
      </c>
      <c r="B97" s="228" t="str">
        <f>VLOOKUP(A97,Liegenschaften!$C$4:$AG$43,2,0)</f>
        <v>Mehrzweckhalle, Vereinsraum (Ph)</v>
      </c>
      <c r="C97" s="60">
        <f>VLOOKUP(B97,Liegenschaften!$D$4:$AI$43,4,0)</f>
        <v>2005</v>
      </c>
      <c r="D97" s="60" t="str">
        <f>VLOOKUP(B97,Liegenschaften!$D$4:$AI$43,5,0)</f>
        <v>Erdgas </v>
      </c>
      <c r="E97" s="60" t="str">
        <f>VLOOKUP(B97,Liegenschaften!$D$4:$AI$43,20,0)</f>
        <v>kWh (Gas)</v>
      </c>
      <c r="F97" s="229">
        <f>VLOOKUP(B97,Liegenschaften!$D$4:$AI$43,23,0)</f>
        <v>37158.4</v>
      </c>
      <c r="G97" s="230">
        <f>VLOOKUP(B97,Liegenschaften!$D$4:$AI$43,24,0)</f>
        <v>3344.256</v>
      </c>
      <c r="H97" s="229">
        <f>VLOOKUP(B97,Liegenschaften!$D$4:$AI$43,25,0)</f>
        <v>7431.68</v>
      </c>
      <c r="I97" s="229">
        <f>VLOOKUP(B97,Liegenschaften!$D$4:$AI$43,26,0)</f>
        <v>1548.26666666667</v>
      </c>
      <c r="J97" s="229">
        <f>VLOOKUP(B97,Liegenschaften!$D$4:$AI$43,27,0)</f>
        <v>530.834285714286</v>
      </c>
      <c r="K97" s="60">
        <f>VLOOKUP(B97,Liegenschaften!$D$4:$AI$43,27,0)</f>
        <v>530.834285714286</v>
      </c>
      <c r="L97" s="229" t="str">
        <f>VLOOKUP(B97,Liegenschaften!$D$4:$AI$43,28,0)</f>
        <v>H</v>
      </c>
      <c r="M97" s="231">
        <f>VLOOKUP(B97,Liegenschaften!$D$4:$AI$43,29,0)</f>
        <v>530.834285714286</v>
      </c>
    </row>
    <row r="98" spans="1:13" ht="12.75">
      <c r="A98">
        <v>7</v>
      </c>
      <c r="B98" s="228" t="e">
        <f>VLOOKUP(A98,Liegenschaften!$C$4:$AG$43,2,0)</f>
        <v>#N/A</v>
      </c>
      <c r="C98" s="60" t="e">
        <f>VLOOKUP(B98,Liegenschaften!$D$4:$AI$43,4,0)</f>
        <v>#N/A</v>
      </c>
      <c r="D98" s="60" t="e">
        <f>VLOOKUP(B98,Liegenschaften!$D$4:$AI$43,5,0)</f>
        <v>#N/A</v>
      </c>
      <c r="E98" s="60" t="e">
        <f>VLOOKUP(B98,Liegenschaften!$D$4:$AI$43,20,0)</f>
        <v>#N/A</v>
      </c>
      <c r="F98" s="229" t="e">
        <f>VLOOKUP(B98,Liegenschaften!$D$4:$AI$43,23,0)</f>
        <v>#N/A</v>
      </c>
      <c r="G98" s="230" t="e">
        <f>VLOOKUP(B98,Liegenschaften!$D$4:$AI$43,24,0)</f>
        <v>#N/A</v>
      </c>
      <c r="H98" s="229" t="e">
        <f>VLOOKUP(B98,Liegenschaften!$D$4:$AI$43,25,0)</f>
        <v>#N/A</v>
      </c>
      <c r="I98" s="229" t="e">
        <f>VLOOKUP(B98,Liegenschaften!$D$4:$AI$43,26,0)</f>
        <v>#N/A</v>
      </c>
      <c r="J98" s="229" t="e">
        <f>VLOOKUP(B98,Liegenschaften!$D$4:$AI$43,27,0)</f>
        <v>#N/A</v>
      </c>
      <c r="K98" s="60" t="e">
        <f>VLOOKUP(B98,Liegenschaften!$D$4:$AI$43,27,0)</f>
        <v>#N/A</v>
      </c>
      <c r="L98" s="229" t="e">
        <f>VLOOKUP(B98,Liegenschaften!$D$4:$AI$43,28,0)</f>
        <v>#N/A</v>
      </c>
      <c r="M98" s="231" t="e">
        <f>VLOOKUP(B98,Liegenschaften!$D$4:$AI$43,29,0)</f>
        <v>#N/A</v>
      </c>
    </row>
    <row r="99" spans="1:13" ht="12.75">
      <c r="A99">
        <v>8</v>
      </c>
      <c r="B99" s="228" t="str">
        <f>VLOOKUP(A99,Liegenschaften!$C$4:$AG$43,2,0)</f>
        <v>Bauhof Werkstatt (Br)</v>
      </c>
      <c r="C99" s="60">
        <f>VLOOKUP(B99,Liegenschaften!$D$4:$AI$43,4,0)</f>
        <v>1999</v>
      </c>
      <c r="D99" s="60" t="str">
        <f>VLOOKUP(B99,Liegenschaften!$D$4:$AI$43,5,0)</f>
        <v>Erdgas</v>
      </c>
      <c r="E99" s="60" t="str">
        <f>VLOOKUP(B99,Liegenschaften!$D$4:$AI$43,20,0)</f>
        <v>kWh (Gas)</v>
      </c>
      <c r="F99" s="229">
        <f>VLOOKUP(B99,Liegenschaften!$D$4:$AI$43,23,0)</f>
        <v>92725.6</v>
      </c>
      <c r="G99" s="230">
        <f>VLOOKUP(B99,Liegenschaften!$D$4:$AI$43,24,0)</f>
        <v>8345.304</v>
      </c>
      <c r="H99" s="229">
        <f>VLOOKUP(B99,Liegenschaften!$D$4:$AI$43,25,0)</f>
        <v>18545.12</v>
      </c>
      <c r="I99" s="229">
        <f>VLOOKUP(B99,Liegenschaften!$D$4:$AI$43,26,0)</f>
        <v>1598.71724137931</v>
      </c>
      <c r="J99" s="229">
        <f>VLOOKUP(B99,Liegenschaften!$D$4:$AI$43,27,0)</f>
        <v>356.636923076923</v>
      </c>
      <c r="K99" s="60">
        <f>VLOOKUP(B99,Liegenschaften!$D$4:$AI$43,27,0)</f>
        <v>356.636923076923</v>
      </c>
      <c r="L99" s="229" t="str">
        <f>VLOOKUP(B99,Liegenschaften!$D$4:$AI$43,28,0)</f>
        <v>H</v>
      </c>
      <c r="M99" s="231">
        <f>VLOOKUP(B99,Liegenschaften!$D$4:$AI$43,29,0)</f>
        <v>356.636923076923</v>
      </c>
    </row>
    <row r="100" spans="1:13" ht="12.75">
      <c r="A100">
        <v>9</v>
      </c>
      <c r="B100" s="228" t="str">
        <f>VLOOKUP(A100,Liegenschaften!$C$4:$AG$43,2,0)</f>
        <v>Kindergarten (Al)</v>
      </c>
      <c r="C100" s="60">
        <f>VLOOKUP(B100,Liegenschaften!$D$4:$AI$43,4,0)</f>
        <v>2015</v>
      </c>
      <c r="D100" s="60" t="str">
        <f>VLOOKUP(B100,Liegenschaften!$D$4:$AI$43,5,0)</f>
        <v>Flüssiggas</v>
      </c>
      <c r="E100" s="60" t="str">
        <f>VLOOKUP(B100,Liegenschaften!$D$4:$AI$43,20,0)</f>
        <v>Liter (Fl.gas)</v>
      </c>
      <c r="F100" s="229">
        <f>VLOOKUP(B100,Liegenschaften!$D$4:$AI$43,23,0)</f>
        <v>32573.5837386579</v>
      </c>
      <c r="G100" s="230">
        <f>VLOOKUP(B100,Liegenschaften!$D$4:$AI$43,24,0)</f>
        <v>2931.62253647921</v>
      </c>
      <c r="H100" s="229">
        <f>VLOOKUP(B100,Liegenschaften!$D$4:$AI$43,25,0)</f>
        <v>8469.13177205106</v>
      </c>
      <c r="I100" s="229">
        <f>VLOOKUP(B100,Liegenschaften!$D$4:$AI$43,26,0)</f>
        <v>1380.23659909568</v>
      </c>
      <c r="J100" s="229">
        <f>VLOOKUP(B100,Liegenschaften!$D$4:$AI$43,27,0)</f>
        <v>139.203349310504</v>
      </c>
      <c r="K100" s="60">
        <f>VLOOKUP(B100,Liegenschaften!$D$4:$AI$43,27,0)</f>
        <v>139.203349310504</v>
      </c>
      <c r="L100" s="229" t="str">
        <f>VLOOKUP(B100,Liegenschaften!$D$4:$AI$43,28,0)</f>
        <v>E</v>
      </c>
      <c r="M100" s="231">
        <f>VLOOKUP(B100,Liegenschaften!$D$4:$AI$43,29,0)</f>
        <v>146.529841379478</v>
      </c>
    </row>
    <row r="101" spans="1:13" ht="12.75">
      <c r="A101">
        <v>10</v>
      </c>
      <c r="B101" s="228" t="str">
        <f>VLOOKUP(A101,Liegenschaften!$C$4:$AG$43,2,0)</f>
        <v>Bauhof Büro (Br)</v>
      </c>
      <c r="C101" s="60">
        <f>VLOOKUP(B101,Liegenschaften!$D$4:$AI$43,4,0)</f>
        <v>2000</v>
      </c>
      <c r="D101" s="60" t="str">
        <f>VLOOKUP(B101,Liegenschaften!$D$4:$AI$43,5,0)</f>
        <v>Erdgas </v>
      </c>
      <c r="E101" s="60" t="str">
        <f>VLOOKUP(B101,Liegenschaften!$D$4:$AI$43,20,0)</f>
        <v>kWh (Gas)</v>
      </c>
      <c r="F101" s="229">
        <f>VLOOKUP(B101,Liegenschaften!$D$4:$AI$43,23,0)</f>
        <v>53694.2</v>
      </c>
      <c r="G101" s="230">
        <f>VLOOKUP(B101,Liegenschaften!$D$4:$AI$43,24,0)</f>
        <v>4832.478</v>
      </c>
      <c r="H101" s="229">
        <f>VLOOKUP(B101,Liegenschaften!$D$4:$AI$43,25,0)</f>
        <v>10738.84</v>
      </c>
      <c r="I101" s="229">
        <f>VLOOKUP(B101,Liegenschaften!$D$4:$AI$43,26,0)</f>
        <v>910.071186440678</v>
      </c>
      <c r="J101" s="229">
        <f>VLOOKUP(B101,Liegenschaften!$D$4:$AI$43,27,0)</f>
        <v>233.453043478261</v>
      </c>
      <c r="K101" s="60">
        <f>VLOOKUP(B101,Liegenschaften!$D$4:$AI$43,27,0)</f>
        <v>233.453043478261</v>
      </c>
      <c r="L101" s="229" t="str">
        <f>VLOOKUP(B101,Liegenschaften!$D$4:$AI$43,28,0)</f>
        <v>G</v>
      </c>
      <c r="M101" s="231">
        <f>VLOOKUP(B101,Liegenschaften!$D$4:$AI$43,29,0)</f>
        <v>233.453043478261</v>
      </c>
    </row>
    <row r="102" spans="1:13" ht="12.75">
      <c r="A102">
        <v>11</v>
      </c>
      <c r="B102" s="228" t="str">
        <f>VLOOKUP(A102,Liegenschaften!$C$4:$AG$43,2,0)</f>
        <v>Feuerwehrgerätehaus (Ne)</v>
      </c>
      <c r="C102" s="60">
        <f>VLOOKUP(B102,Liegenschaften!$D$4:$AI$43,4,0)</f>
        <v>2009</v>
      </c>
      <c r="D102" s="60" t="str">
        <f>VLOOKUP(B102,Liegenschaften!$D$4:$AI$43,5,0)</f>
        <v>Öl</v>
      </c>
      <c r="E102" s="60" t="str">
        <f>VLOOKUP(B102,Liegenschaften!$D$4:$AI$43,20,0)</f>
        <v>Liter (Öl)</v>
      </c>
      <c r="F102" s="229">
        <f>VLOOKUP(B102,Liegenschaften!$D$4:$AI$43,23,0)</f>
        <v>11250</v>
      </c>
      <c r="G102" s="230">
        <f>VLOOKUP(B102,Liegenschaften!$D$4:$AI$43,24,0)</f>
        <v>1125</v>
      </c>
      <c r="H102" s="229">
        <f>VLOOKUP(B102,Liegenschaften!$D$4:$AI$43,25,0)</f>
        <v>3037.5</v>
      </c>
      <c r="I102" s="229">
        <f>VLOOKUP(B102,Liegenschaften!$D$4:$AI$43,26,0)</f>
        <v>592.105263157895</v>
      </c>
      <c r="J102" s="229">
        <f>VLOOKUP(B102,Liegenschaften!$D$4:$AI$43,27,0)</f>
        <v>40.7608695652174</v>
      </c>
      <c r="K102" s="60">
        <f>VLOOKUP(B102,Liegenschaften!$D$4:$AI$43,27,0)</f>
        <v>40.7608695652174</v>
      </c>
      <c r="L102" s="229" t="str">
        <f>VLOOKUP(B102,Liegenschaften!$D$4:$AI$43,28,0)</f>
        <v>A</v>
      </c>
      <c r="M102" s="231">
        <f>VLOOKUP(B102,Liegenschaften!$D$4:$AI$43,29,0)</f>
        <v>203.804347826087</v>
      </c>
    </row>
    <row r="103" spans="1:13" ht="12.75">
      <c r="A103">
        <v>12</v>
      </c>
      <c r="B103" s="228" t="e">
        <f>VLOOKUP(A103,Liegenschaften!$C$4:$AG$43,2,0)</f>
        <v>#N/A</v>
      </c>
      <c r="C103" s="60" t="e">
        <f>VLOOKUP(B103,Liegenschaften!$D$4:$AI$43,4,0)</f>
        <v>#N/A</v>
      </c>
      <c r="D103" s="60" t="e">
        <f>VLOOKUP(B103,Liegenschaften!$D$4:$AI$43,5,0)</f>
        <v>#N/A</v>
      </c>
      <c r="E103" s="60" t="e">
        <f>VLOOKUP(B103,Liegenschaften!$D$4:$AI$43,20,0)</f>
        <v>#N/A</v>
      </c>
      <c r="F103" s="229" t="e">
        <f>VLOOKUP(B103,Liegenschaften!$D$4:$AI$43,23,0)</f>
        <v>#N/A</v>
      </c>
      <c r="G103" s="230" t="e">
        <f>VLOOKUP(B103,Liegenschaften!$D$4:$AI$43,24,0)</f>
        <v>#N/A</v>
      </c>
      <c r="H103" s="229" t="e">
        <f>VLOOKUP(B103,Liegenschaften!$D$4:$AI$43,25,0)</f>
        <v>#N/A</v>
      </c>
      <c r="I103" s="229" t="e">
        <f>VLOOKUP(B103,Liegenschaften!$D$4:$AI$43,26,0)</f>
        <v>#N/A</v>
      </c>
      <c r="J103" s="229" t="e">
        <f>VLOOKUP(B103,Liegenschaften!$D$4:$AI$43,27,0)</f>
        <v>#N/A</v>
      </c>
      <c r="K103" s="60" t="e">
        <f>VLOOKUP(B103,Liegenschaften!$D$4:$AI$43,27,0)</f>
        <v>#N/A</v>
      </c>
      <c r="L103" s="229" t="e">
        <f>VLOOKUP(B103,Liegenschaften!$D$4:$AI$43,28,0)</f>
        <v>#N/A</v>
      </c>
      <c r="M103" s="231" t="e">
        <f>VLOOKUP(B103,Liegenschaften!$D$4:$AI$43,29,0)</f>
        <v>#N/A</v>
      </c>
    </row>
    <row r="104" spans="1:13" ht="12.75">
      <c r="A104">
        <v>13</v>
      </c>
      <c r="B104" s="228" t="str">
        <f>VLOOKUP(A104,Liegenschaften!$C$4:$AG$43,2,0)</f>
        <v>Ehem. Verwaltung Vereinsgebäude mit Feuerwehr (Bo)</v>
      </c>
      <c r="C104" s="60">
        <f>VLOOKUP(B104,Liegenschaften!$D$4:$AI$43,4,0)</f>
        <v>1983</v>
      </c>
      <c r="D104" s="60" t="str">
        <f>VLOOKUP(B104,Liegenschaften!$D$4:$AI$43,5,0)</f>
        <v>Erdgas</v>
      </c>
      <c r="E104" s="60" t="str">
        <f>VLOOKUP(B104,Liegenschaften!$D$4:$AI$43,20,0)</f>
        <v>kWh (Gas)</v>
      </c>
      <c r="F104" s="229">
        <f>VLOOKUP(B104,Liegenschaften!$D$4:$AI$43,23,0)</f>
        <v>77645</v>
      </c>
      <c r="G104" s="230">
        <f>VLOOKUP(B104,Liegenschaften!$D$4:$AI$43,24,0)</f>
        <v>6988.05</v>
      </c>
      <c r="H104" s="229">
        <f>VLOOKUP(B104,Liegenschaften!$D$4:$AI$43,25,0)</f>
        <v>15529</v>
      </c>
      <c r="I104" s="229">
        <f>VLOOKUP(B104,Liegenschaften!$D$4:$AI$43,26,0)</f>
        <v>4313.61111111111</v>
      </c>
      <c r="J104" s="229">
        <f>VLOOKUP(B104,Liegenschaften!$D$4:$AI$43,27,0)</f>
        <v>126.457654723127</v>
      </c>
      <c r="K104" s="60">
        <f>VLOOKUP(B104,Liegenschaften!$D$4:$AI$43,27,0)</f>
        <v>126.457654723127</v>
      </c>
      <c r="L104" s="229" t="str">
        <f>VLOOKUP(B104,Liegenschaften!$D$4:$AI$43,28,0)</f>
        <v>D</v>
      </c>
      <c r="M104" s="231">
        <f>VLOOKUP(B104,Liegenschaften!$D$4:$AI$43,29,0)</f>
        <v>126.457654723127</v>
      </c>
    </row>
    <row r="105" spans="1:13" ht="12.75">
      <c r="A105">
        <v>14</v>
      </c>
      <c r="B105" s="228" t="str">
        <f>VLOOKUP(A105,Liegenschaften!$C$4:$AG$43,2,0)</f>
        <v>Wohnung 1 (Br)</v>
      </c>
      <c r="C105" s="60">
        <f>VLOOKUP(B105,Liegenschaften!$D$4:$AI$43,4,0)</f>
        <v>2018</v>
      </c>
      <c r="D105" s="60" t="str">
        <f>VLOOKUP(B105,Liegenschaften!$D$4:$AI$43,5,0)</f>
        <v>Erdgas</v>
      </c>
      <c r="E105" s="60" t="str">
        <f>VLOOKUP(B105,Liegenschaften!$D$4:$AI$43,20,0)</f>
        <v>kWh (Gas)</v>
      </c>
      <c r="F105" s="229">
        <f>VLOOKUP(B105,Liegenschaften!$D$4:$AI$43,23,0)</f>
        <v>14265.6</v>
      </c>
      <c r="G105" s="230">
        <f>VLOOKUP(B105,Liegenschaften!$D$4:$AI$43,24,0)</f>
        <v>1283.904</v>
      </c>
      <c r="H105" s="229">
        <f>VLOOKUP(B105,Liegenschaften!$D$4:$AI$43,25,0)</f>
        <v>2853.12</v>
      </c>
      <c r="I105" s="229">
        <f>VLOOKUP(B105,Liegenschaften!$D$4:$AI$43,26,0)</f>
        <v>1018.97142857143</v>
      </c>
      <c r="J105" s="229">
        <f>VLOOKUP(B105,Liegenschaften!$D$4:$AI$43,27,0)</f>
        <v>135.862857142857</v>
      </c>
      <c r="K105" s="60">
        <f>VLOOKUP(B105,Liegenschaften!$D$4:$AI$43,27,0)</f>
        <v>135.862857142857</v>
      </c>
      <c r="L105" s="229" t="str">
        <f>VLOOKUP(B105,Liegenschaften!$D$4:$AI$43,28,0)</f>
        <v>E</v>
      </c>
      <c r="M105" s="231">
        <f>VLOOKUP(B105,Liegenschaften!$D$4:$AI$43,29,0)</f>
        <v>135.862857142857</v>
      </c>
    </row>
    <row r="106" spans="1:13" ht="12.75">
      <c r="A106">
        <v>15</v>
      </c>
      <c r="B106" s="228" t="str">
        <f>VLOOKUP(A106,Liegenschaften!$C$4:$AG$43,2,0)</f>
        <v>Kita Schlossmäuse Altbau (Br)</v>
      </c>
      <c r="C106" s="60">
        <f>VLOOKUP(B106,Liegenschaften!$D$4:$AI$43,4,0)</f>
        <v>2017</v>
      </c>
      <c r="D106" s="60" t="str">
        <f>VLOOKUP(B106,Liegenschaften!$D$4:$AI$43,5,0)</f>
        <v>Erdgas </v>
      </c>
      <c r="E106" s="60" t="str">
        <f>VLOOKUP(B106,Liegenschaften!$D$4:$AI$43,20,0)</f>
        <v>kWh (Gas)</v>
      </c>
      <c r="F106" s="229">
        <f>VLOOKUP(B106,Liegenschaften!$D$4:$AI$43,23,0)</f>
        <v>94484</v>
      </c>
      <c r="G106" s="230">
        <f>VLOOKUP(B106,Liegenschaften!$D$4:$AI$43,24,0)</f>
        <v>8503.56</v>
      </c>
      <c r="H106" s="229">
        <f>VLOOKUP(B106,Liegenschaften!$D$4:$AI$43,25,0)</f>
        <v>18896.8</v>
      </c>
      <c r="I106" s="229">
        <f>VLOOKUP(B106,Liegenschaften!$D$4:$AI$43,26,0)</f>
        <v>1453.6</v>
      </c>
      <c r="J106" s="229">
        <f>VLOOKUP(B106,Liegenschaften!$D$4:$AI$43,27,0)</f>
        <v>128.375</v>
      </c>
      <c r="K106" s="60">
        <f>VLOOKUP(B106,Liegenschaften!$D$4:$AI$43,27,0)</f>
        <v>128.375</v>
      </c>
      <c r="L106" s="229" t="str">
        <f>VLOOKUP(B106,Liegenschaften!$D$4:$AI$43,28,0)</f>
        <v>D</v>
      </c>
      <c r="M106" s="231">
        <f>VLOOKUP(B106,Liegenschaften!$D$4:$AI$43,29,0)</f>
        <v>135.131578947368</v>
      </c>
    </row>
    <row r="107" spans="1:13" ht="12.75">
      <c r="A107">
        <v>16</v>
      </c>
      <c r="B107" s="228" t="e">
        <f>VLOOKUP(A107,Liegenschaften!$C$4:$AG$43,2,0)</f>
        <v>#N/A</v>
      </c>
      <c r="C107" s="60" t="e">
        <f>VLOOKUP(B107,Liegenschaften!$D$4:$AI$43,4,0)</f>
        <v>#N/A</v>
      </c>
      <c r="D107" s="60" t="e">
        <f>VLOOKUP(B107,Liegenschaften!$D$4:$AI$43,5,0)</f>
        <v>#N/A</v>
      </c>
      <c r="E107" s="60" t="e">
        <f>VLOOKUP(B107,Liegenschaften!$D$4:$AI$43,20,0)</f>
        <v>#N/A</v>
      </c>
      <c r="F107" s="229" t="e">
        <f>VLOOKUP(B107,Liegenschaften!$D$4:$AI$43,23,0)</f>
        <v>#N/A</v>
      </c>
      <c r="G107" s="230" t="e">
        <f>VLOOKUP(B107,Liegenschaften!$D$4:$AI$43,24,0)</f>
        <v>#N/A</v>
      </c>
      <c r="H107" s="229" t="e">
        <f>VLOOKUP(B107,Liegenschaften!$D$4:$AI$43,25,0)</f>
        <v>#N/A</v>
      </c>
      <c r="I107" s="229" t="e">
        <f>VLOOKUP(B107,Liegenschaften!$D$4:$AI$43,26,0)</f>
        <v>#N/A</v>
      </c>
      <c r="J107" s="229" t="e">
        <f>VLOOKUP(B107,Liegenschaften!$D$4:$AI$43,27,0)</f>
        <v>#N/A</v>
      </c>
      <c r="K107" s="60" t="e">
        <f>VLOOKUP(B107,Liegenschaften!$D$4:$AI$43,27,0)</f>
        <v>#N/A</v>
      </c>
      <c r="L107" s="229" t="e">
        <f>VLOOKUP(B107,Liegenschaften!$D$4:$AI$43,28,0)</f>
        <v>#N/A</v>
      </c>
      <c r="M107" s="231" t="e">
        <f>VLOOKUP(B107,Liegenschaften!$D$4:$AI$43,29,0)</f>
        <v>#N/A</v>
      </c>
    </row>
    <row r="108" spans="1:13" ht="12.75">
      <c r="A108">
        <v>17</v>
      </c>
      <c r="B108" s="228" t="str">
        <f>VLOOKUP(A108,Liegenschaften!$C$4:$AG$43,2,0)</f>
        <v>Mehrzweckhalle (Bo)</v>
      </c>
      <c r="C108" s="60">
        <f>VLOOKUP(B108,Liegenschaften!$D$4:$AI$43,4,0)</f>
        <v>2020</v>
      </c>
      <c r="D108" s="60" t="str">
        <f>VLOOKUP(B108,Liegenschaften!$D$4:$AI$43,5,0)</f>
        <v>Erdgas </v>
      </c>
      <c r="E108" s="60" t="str">
        <f>VLOOKUP(B108,Liegenschaften!$D$4:$AI$43,20,0)</f>
        <v>kWh (Gas)</v>
      </c>
      <c r="F108" s="229">
        <f>VLOOKUP(B108,Liegenschaften!$D$4:$AI$43,23,0)</f>
        <v>90440.8</v>
      </c>
      <c r="G108" s="230">
        <f>VLOOKUP(B108,Liegenschaften!$D$4:$AI$43,24,0)</f>
        <v>8139.672</v>
      </c>
      <c r="H108" s="229">
        <f>VLOOKUP(B108,Liegenschaften!$D$4:$AI$43,25,0)</f>
        <v>18088.16</v>
      </c>
      <c r="I108" s="229">
        <f>VLOOKUP(B108,Liegenschaften!$D$4:$AI$43,26,0)</f>
        <v>602.938666666667</v>
      </c>
      <c r="J108" s="229">
        <f>VLOOKUP(B108,Liegenschaften!$D$4:$AI$43,27,0)</f>
        <v>115.211210191083</v>
      </c>
      <c r="K108" s="60">
        <f>VLOOKUP(B108,Liegenschaften!$D$4:$AI$43,27,0)</f>
        <v>115.211210191083</v>
      </c>
      <c r="L108" s="229" t="str">
        <f>VLOOKUP(B108,Liegenschaften!$D$4:$AI$43,28,0)</f>
        <v>D</v>
      </c>
      <c r="M108" s="231">
        <f>VLOOKUP(B108,Liegenschaften!$D$4:$AI$43,29,0)</f>
        <v>576.056050955414</v>
      </c>
    </row>
    <row r="109" spans="1:13" ht="12.75">
      <c r="A109">
        <v>18</v>
      </c>
      <c r="B109" s="228" t="str">
        <f>VLOOKUP(A109,Liegenschaften!$C$4:$AG$43,2,0)</f>
        <v>Mehrzweckhalle (Al)</v>
      </c>
      <c r="C109" s="60">
        <f>VLOOKUP(B109,Liegenschaften!$D$4:$AI$43,4,0)</f>
        <v>1991</v>
      </c>
      <c r="D109" s="60" t="str">
        <f>VLOOKUP(B109,Liegenschaften!$D$4:$AI$43,5,0)</f>
        <v>Öl</v>
      </c>
      <c r="E109" s="60" t="str">
        <f>VLOOKUP(B109,Liegenschaften!$D$4:$AI$43,20,0)</f>
        <v>Liter (Öl)</v>
      </c>
      <c r="F109" s="229">
        <f>VLOOKUP(B109,Liegenschaften!$D$4:$AI$43,23,0)</f>
        <v>75216</v>
      </c>
      <c r="G109" s="230">
        <f>VLOOKUP(B109,Liegenschaften!$D$4:$AI$43,24,0)</f>
        <v>7521.6</v>
      </c>
      <c r="H109" s="229">
        <f>VLOOKUP(B109,Liegenschaften!$D$4:$AI$43,25,0)</f>
        <v>20308.32</v>
      </c>
      <c r="I109" s="229">
        <f>VLOOKUP(B109,Liegenschaften!$D$4:$AI$43,26,0)</f>
        <v>358.171428571429</v>
      </c>
      <c r="J109" s="229">
        <f>VLOOKUP(B109,Liegenschaften!$D$4:$AI$43,27,0)</f>
        <v>95.2101265822785</v>
      </c>
      <c r="K109" s="60">
        <f>VLOOKUP(B109,Liegenschaften!$D$4:$AI$43,27,0)</f>
        <v>95.2101265822785</v>
      </c>
      <c r="L109" s="229" t="str">
        <f>VLOOKUP(B109,Liegenschaften!$D$4:$AI$43,28,0)</f>
        <v>C</v>
      </c>
      <c r="M109" s="231">
        <f>VLOOKUP(B109,Liegenschaften!$D$4:$AI$43,29,0)</f>
        <v>476.050632911392</v>
      </c>
    </row>
    <row r="110" spans="1:13" ht="12.75">
      <c r="A110">
        <v>19</v>
      </c>
      <c r="B110" s="228" t="str">
        <f>VLOOKUP(A110,Liegenschaften!$C$4:$AG$43,2,0)</f>
        <v>Kindergarten (Bo)</v>
      </c>
      <c r="C110" s="60">
        <f>VLOOKUP(B110,Liegenschaften!$D$4:$AI$43,4,0)</f>
        <v>2013</v>
      </c>
      <c r="D110" s="60" t="str">
        <f>VLOOKUP(B110,Liegenschaften!$D$4:$AI$43,5,0)</f>
        <v>Erdgas</v>
      </c>
      <c r="E110" s="60" t="str">
        <f>VLOOKUP(B110,Liegenschaften!$D$4:$AI$43,20,0)</f>
        <v>kWh (Gas)</v>
      </c>
      <c r="F110" s="229">
        <f>VLOOKUP(B110,Liegenschaften!$D$4:$AI$43,23,0)</f>
        <v>60734.8</v>
      </c>
      <c r="G110" s="230">
        <f>VLOOKUP(B110,Liegenschaften!$D$4:$AI$43,24,0)</f>
        <v>5466.132</v>
      </c>
      <c r="H110" s="229">
        <f>VLOOKUP(B110,Liegenschaften!$D$4:$AI$43,25,0)</f>
        <v>12146.96</v>
      </c>
      <c r="I110" s="229">
        <f>VLOOKUP(B110,Liegenschaften!$D$4:$AI$43,26,0)</f>
        <v>964.044444444444</v>
      </c>
      <c r="J110" s="229">
        <f>VLOOKUP(B110,Liegenschaften!$D$4:$AI$43,27,0)</f>
        <v>74.521226993865</v>
      </c>
      <c r="K110" s="60">
        <f>VLOOKUP(B110,Liegenschaften!$D$4:$AI$43,27,0)</f>
        <v>74.521226993865</v>
      </c>
      <c r="L110" s="229" t="str">
        <f>VLOOKUP(B110,Liegenschaften!$D$4:$AI$43,28,0)</f>
        <v>B</v>
      </c>
      <c r="M110" s="231">
        <f>VLOOKUP(B110,Liegenschaften!$D$4:$AI$43,29,0)</f>
        <v>78.4433968356474</v>
      </c>
    </row>
    <row r="111" spans="1:13" ht="12.75">
      <c r="A111">
        <v>20</v>
      </c>
      <c r="B111" s="228" t="str">
        <f>VLOOKUP(A111,Liegenschaften!$C$4:$AG$43,2,0)</f>
        <v>Wohnung Lange Str. 15 (Al)</v>
      </c>
      <c r="C111" s="60">
        <f>VLOOKUP(B111,Liegenschaften!$D$4:$AI$43,4,0)</f>
        <v>2017</v>
      </c>
      <c r="D111" s="60" t="str">
        <f>VLOOKUP(B111,Liegenschaften!$D$4:$AI$43,5,0)</f>
        <v>Flüssiggas</v>
      </c>
      <c r="E111" s="60" t="str">
        <f>VLOOKUP(B111,Liegenschaften!$D$4:$AI$43,20,0)</f>
        <v>Liter (Fl.gas)</v>
      </c>
      <c r="F111" s="229">
        <f>VLOOKUP(B111,Liegenschaften!$D$4:$AI$43,23,0)</f>
        <v>7557.41626134208</v>
      </c>
      <c r="G111" s="230">
        <f>VLOOKUP(B111,Liegenschaften!$D$4:$AI$43,24,0)</f>
        <v>680.167463520788</v>
      </c>
      <c r="H111" s="229">
        <f>VLOOKUP(B111,Liegenschaften!$D$4:$AI$43,25,0)</f>
        <v>1964.92822794894</v>
      </c>
      <c r="I111" s="229">
        <f>VLOOKUP(B111,Liegenschaften!$D$4:$AI$43,26,0)</f>
        <v>317.538498375718</v>
      </c>
      <c r="J111" s="229">
        <f>VLOOKUP(B111,Liegenschaften!$D$4:$AI$43,27,0)</f>
        <v>72.6674640513662</v>
      </c>
      <c r="K111" s="60">
        <f>VLOOKUP(B111,Liegenschaften!$D$4:$AI$43,27,0)</f>
        <v>72.6674640513662</v>
      </c>
      <c r="L111" s="229" t="str">
        <f>VLOOKUP(B111,Liegenschaften!$D$4:$AI$43,28,0)</f>
        <v>B</v>
      </c>
      <c r="M111" s="231">
        <f>VLOOKUP(B111,Liegenschaften!$D$4:$AI$43,29,0)</f>
        <v>72.6674640513662</v>
      </c>
    </row>
    <row r="112" spans="1:13" ht="12.75">
      <c r="A112">
        <v>21</v>
      </c>
      <c r="B112" s="228" t="e">
        <f>VLOOKUP(A112,Liegenschaften!$C$4:$AG$43,2,0)</f>
        <v>#N/A</v>
      </c>
      <c r="C112" s="60" t="e">
        <f>VLOOKUP(B112,Liegenschaften!$D$4:$AI$43,4,0)</f>
        <v>#N/A</v>
      </c>
      <c r="D112" s="60" t="e">
        <f>VLOOKUP(B112,Liegenschaften!$D$4:$AI$43,5,0)</f>
        <v>#N/A</v>
      </c>
      <c r="E112" s="60" t="e">
        <f>VLOOKUP(B112,Liegenschaften!$D$4:$AI$43,20,0)</f>
        <v>#N/A</v>
      </c>
      <c r="F112" s="229" t="e">
        <f>VLOOKUP(B112,Liegenschaften!$D$4:$AI$43,23,0)</f>
        <v>#N/A</v>
      </c>
      <c r="G112" s="230" t="e">
        <f>VLOOKUP(B112,Liegenschaften!$D$4:$AI$43,24,0)</f>
        <v>#N/A</v>
      </c>
      <c r="H112" s="229" t="e">
        <f>VLOOKUP(B112,Liegenschaften!$D$4:$AI$43,25,0)</f>
        <v>#N/A</v>
      </c>
      <c r="I112" s="229" t="e">
        <f>VLOOKUP(B112,Liegenschaften!$D$4:$AI$43,26,0)</f>
        <v>#N/A</v>
      </c>
      <c r="J112" s="229" t="e">
        <f>VLOOKUP(B112,Liegenschaften!$D$4:$AI$43,27,0)</f>
        <v>#N/A</v>
      </c>
      <c r="K112" s="60" t="e">
        <f>VLOOKUP(B112,Liegenschaften!$D$4:$AI$43,27,0)</f>
        <v>#N/A</v>
      </c>
      <c r="L112" s="229" t="e">
        <f>VLOOKUP(B112,Liegenschaften!$D$4:$AI$43,28,0)</f>
        <v>#N/A</v>
      </c>
      <c r="M112" s="231" t="e">
        <f>VLOOKUP(B112,Liegenschaften!$D$4:$AI$43,29,0)</f>
        <v>#N/A</v>
      </c>
    </row>
    <row r="113" spans="1:13" ht="12.75">
      <c r="A113">
        <v>22</v>
      </c>
      <c r="B113" s="228" t="str">
        <f>VLOOKUP(A113,Liegenschaften!$C$4:$AG$43,2,0)</f>
        <v>Feuerwehrgerätehaus (Ph)</v>
      </c>
      <c r="C113" s="60">
        <f>VLOOKUP(B113,Liegenschaften!$D$4:$AI$43,4,0)</f>
        <v>1993</v>
      </c>
      <c r="D113" s="60" t="str">
        <f>VLOOKUP(B113,Liegenschaften!$D$4:$AI$43,5,0)</f>
        <v>Erdgas</v>
      </c>
      <c r="E113" s="60" t="str">
        <f>VLOOKUP(B113,Liegenschaften!$D$4:$AI$43,20,0)</f>
        <v>kWh (Gas)</v>
      </c>
      <c r="F113" s="229">
        <f>VLOOKUP(B113,Liegenschaften!$D$4:$AI$43,23,0)</f>
        <v>31793.2</v>
      </c>
      <c r="G113" s="230">
        <f>VLOOKUP(B113,Liegenschaften!$D$4:$AI$43,24,0)</f>
        <v>2861.388</v>
      </c>
      <c r="H113" s="229">
        <f>VLOOKUP(B113,Liegenschaften!$D$4:$AI$43,25,0)</f>
        <v>6358.64</v>
      </c>
      <c r="I113" s="229">
        <f>VLOOKUP(B113,Liegenschaften!$D$4:$AI$43,26,0)</f>
        <v>993.5375</v>
      </c>
      <c r="J113" s="229">
        <f>VLOOKUP(B113,Liegenschaften!$D$4:$AI$43,27,0)</f>
        <v>68.965726681128</v>
      </c>
      <c r="K113" s="60">
        <f>VLOOKUP(B113,Liegenschaften!$D$4:$AI$43,27,0)</f>
        <v>68.965726681128</v>
      </c>
      <c r="L113" s="229" t="str">
        <f>VLOOKUP(B113,Liegenschaften!$D$4:$AI$43,28,0)</f>
        <v>B</v>
      </c>
      <c r="M113" s="231">
        <f>VLOOKUP(B113,Liegenschaften!$D$4:$AI$43,29,0)</f>
        <v>68.965726681128</v>
      </c>
    </row>
    <row r="114" spans="1:13" ht="12.75">
      <c r="A114">
        <v>23</v>
      </c>
      <c r="B114" s="228" t="str">
        <f>VLOOKUP(A114,Liegenschaften!$C$4:$AG$43,2,0)</f>
        <v>Mehrzweckhalle (Ph)</v>
      </c>
      <c r="C114" s="60">
        <f>VLOOKUP(B114,Liegenschaften!$D$4:$AI$43,4,0)</f>
        <v>2012</v>
      </c>
      <c r="D114" s="60" t="str">
        <f>VLOOKUP(B114,Liegenschaften!$D$4:$AI$43,5,0)</f>
        <v>Erdgas</v>
      </c>
      <c r="E114" s="60" t="str">
        <f>VLOOKUP(B114,Liegenschaften!$D$4:$AI$43,20,0)</f>
        <v>kWh (Gas)</v>
      </c>
      <c r="F114" s="229">
        <f>VLOOKUP(B114,Liegenschaften!$D$4:$AI$43,23,0)</f>
        <v>24662.2</v>
      </c>
      <c r="G114" s="230">
        <f>VLOOKUP(B114,Liegenschaften!$D$4:$AI$43,24,0)</f>
        <v>2219.598</v>
      </c>
      <c r="H114" s="229">
        <f>VLOOKUP(B114,Liegenschaften!$D$4:$AI$43,25,0)</f>
        <v>4932.44</v>
      </c>
      <c r="I114" s="229">
        <f>VLOOKUP(B114,Liegenschaften!$D$4:$AI$43,26,0)</f>
        <v>308.2775</v>
      </c>
      <c r="J114" s="229">
        <f>VLOOKUP(B114,Liegenschaften!$D$4:$AI$43,27,0)</f>
        <v>28.8446783625731</v>
      </c>
      <c r="K114" s="60">
        <f>VLOOKUP(B114,Liegenschaften!$D$4:$AI$43,27,0)</f>
        <v>28.8446783625731</v>
      </c>
      <c r="L114" s="229" t="str">
        <f>VLOOKUP(B114,Liegenschaften!$D$4:$AI$43,28,0)</f>
        <v>A+</v>
      </c>
      <c r="M114" s="231">
        <f>VLOOKUP(B114,Liegenschaften!$D$4:$AI$43,29,0)</f>
        <v>57.6893567251462</v>
      </c>
    </row>
    <row r="115" spans="1:13" ht="12.75">
      <c r="A115">
        <v>24</v>
      </c>
      <c r="B115" s="228" t="str">
        <f>VLOOKUP(A115,Liegenschaften!$C$4:$AG$43,2,0)</f>
        <v>Alte Schule m. Wohnungen (Ti)</v>
      </c>
      <c r="C115" s="60">
        <f>VLOOKUP(B115,Liegenschaften!$D$4:$AI$43,4,0)</f>
        <v>2010</v>
      </c>
      <c r="D115" s="60" t="str">
        <f>VLOOKUP(B115,Liegenschaften!$D$4:$AI$43,5,0)</f>
        <v>Pellet </v>
      </c>
      <c r="E115" s="60" t="str">
        <f>VLOOKUP(B115,Liegenschaften!$D$4:$AI$43,20,0)</f>
        <v>kg (Pellets)</v>
      </c>
      <c r="F115" s="229">
        <f>VLOOKUP(B115,Liegenschaften!$D$4:$AI$43,23,0)</f>
        <v>28745.2</v>
      </c>
      <c r="G115" s="230">
        <f>VLOOKUP(B115,Liegenschaften!$D$4:$AI$43,24,0)</f>
        <v>2299.616</v>
      </c>
      <c r="H115" s="229">
        <f>VLOOKUP(B115,Liegenschaften!$D$4:$AI$43,25,0)</f>
        <v>2874.52</v>
      </c>
      <c r="I115" s="229">
        <f>VLOOKUP(B115,Liegenschaften!$D$4:$AI$43,26,0)</f>
        <v>0</v>
      </c>
      <c r="J115" s="229">
        <f>VLOOKUP(B115,Liegenschaften!$D$4:$AI$43,27,0)</f>
        <v>47.9086666666667</v>
      </c>
      <c r="K115" s="60">
        <f>VLOOKUP(B115,Liegenschaften!$D$4:$AI$43,27,0)</f>
        <v>47.9086666666667</v>
      </c>
      <c r="L115" s="229" t="str">
        <f>VLOOKUP(B115,Liegenschaften!$D$4:$AI$43,28,0)</f>
        <v>A</v>
      </c>
      <c r="M115" s="231">
        <f>VLOOKUP(B115,Liegenschaften!$D$4:$AI$43,29,0)</f>
        <v>47.9086666666667</v>
      </c>
    </row>
    <row r="116" spans="1:13" ht="12.75">
      <c r="A116">
        <v>25</v>
      </c>
      <c r="B116" s="228" t="str">
        <f>VLOOKUP(A116,Liegenschaften!$C$4:$AG$43,2,0)</f>
        <v>Kita Schlossmäuse Neubau (Br)</v>
      </c>
      <c r="C116" s="60">
        <f>VLOOKUP(B116,Liegenschaften!$D$4:$AI$43,4,0)</f>
        <v>2016</v>
      </c>
      <c r="D116" s="60" t="str">
        <f>VLOOKUP(B116,Liegenschaften!$D$4:$AI$43,5,0)</f>
        <v>Luft-Wärme-Pumpe </v>
      </c>
      <c r="E116" s="60" t="str">
        <f>VLOOKUP(B116,Liegenschaften!$D$4:$AI$43,20,0)</f>
        <v>kWh (Strom)</v>
      </c>
      <c r="F116" s="229">
        <f>VLOOKUP(B116,Liegenschaften!$D$4:$AI$43,23,0)</f>
        <v>10875.6</v>
      </c>
      <c r="G116" s="230">
        <f>VLOOKUP(B116,Liegenschaften!$D$4:$AI$43,24,0)</f>
        <v>3262.68</v>
      </c>
      <c r="H116" s="229">
        <f>VLOOKUP(B116,Liegenschaften!$D$4:$AI$43,25,0)</f>
        <v>4350.24</v>
      </c>
      <c r="I116" s="229">
        <f>VLOOKUP(B116,Liegenschaften!$D$4:$AI$43,26,0)</f>
        <v>517.885714285714</v>
      </c>
      <c r="J116" s="229">
        <f>VLOOKUP(B116,Liegenschaften!$D$4:$AI$43,27,0)</f>
        <v>19.4207142857143</v>
      </c>
      <c r="K116" s="60">
        <f>VLOOKUP(B116,Liegenschaften!$D$4:$AI$43,27,0)</f>
        <v>19.4207142857143</v>
      </c>
      <c r="L116" s="229" t="str">
        <f>VLOOKUP(B116,Liegenschaften!$D$4:$AI$43,28,0)</f>
        <v>A+</v>
      </c>
      <c r="M116" s="231">
        <f>VLOOKUP(B116,Liegenschaften!$D$4:$AI$43,29,0)</f>
        <v>20.4428571428571</v>
      </c>
    </row>
    <row r="117" spans="1:13" ht="12.75">
      <c r="A117">
        <v>26</v>
      </c>
      <c r="B117" s="228" t="e">
        <f>VLOOKUP(A117,Liegenschaften!$C$4:$AG$43,2,0)</f>
        <v>#N/A</v>
      </c>
      <c r="C117" s="60" t="e">
        <f>VLOOKUP(B117,Liegenschaften!$D$4:$AI$43,4,0)</f>
        <v>#N/A</v>
      </c>
      <c r="D117" s="60" t="e">
        <f>VLOOKUP(B117,Liegenschaften!$D$4:$AI$43,5,0)</f>
        <v>#N/A</v>
      </c>
      <c r="E117" s="60" t="e">
        <f>VLOOKUP(B117,Liegenschaften!$D$4:$AI$43,20,0)</f>
        <v>#N/A</v>
      </c>
      <c r="F117" s="229" t="e">
        <f>VLOOKUP(B117,Liegenschaften!$D$4:$AI$43,23,0)</f>
        <v>#N/A</v>
      </c>
      <c r="G117" s="230" t="e">
        <f>VLOOKUP(B117,Liegenschaften!$D$4:$AI$43,24,0)</f>
        <v>#N/A</v>
      </c>
      <c r="H117" s="229" t="e">
        <f>VLOOKUP(B117,Liegenschaften!$D$4:$AI$43,25,0)</f>
        <v>#N/A</v>
      </c>
      <c r="I117" s="229" t="e">
        <f>VLOOKUP(B117,Liegenschaften!$D$4:$AI$43,26,0)</f>
        <v>#N/A</v>
      </c>
      <c r="J117" s="229" t="e">
        <f>VLOOKUP(B117,Liegenschaften!$D$4:$AI$43,27,0)</f>
        <v>#N/A</v>
      </c>
      <c r="K117" s="60" t="e">
        <f>VLOOKUP(B117,Liegenschaften!$D$4:$AI$43,27,0)</f>
        <v>#N/A</v>
      </c>
      <c r="L117" s="229" t="e">
        <f>VLOOKUP(B117,Liegenschaften!$D$4:$AI$43,28,0)</f>
        <v>#N/A</v>
      </c>
      <c r="M117" s="231" t="e">
        <f>VLOOKUP(B117,Liegenschaften!$D$4:$AI$43,29,0)</f>
        <v>#N/A</v>
      </c>
    </row>
    <row r="118" spans="1:13" ht="12.75">
      <c r="A118">
        <v>27</v>
      </c>
      <c r="B118" s="228" t="e">
        <f>VLOOKUP(A118,Liegenschaften!$C$4:$AG$43,2,0)</f>
        <v>#N/A</v>
      </c>
      <c r="C118" s="60" t="e">
        <f>VLOOKUP(B118,Liegenschaften!$D$4:$AI$43,4,0)</f>
        <v>#N/A</v>
      </c>
      <c r="D118" s="60" t="e">
        <f>VLOOKUP(B118,Liegenschaften!$D$4:$AI$43,5,0)</f>
        <v>#N/A</v>
      </c>
      <c r="E118" s="60" t="e">
        <f>VLOOKUP(B118,Liegenschaften!$D$4:$AI$43,20,0)</f>
        <v>#N/A</v>
      </c>
      <c r="F118" s="229" t="e">
        <f>VLOOKUP(B118,Liegenschaften!$D$4:$AI$43,23,0)</f>
        <v>#N/A</v>
      </c>
      <c r="G118" s="230" t="e">
        <f>VLOOKUP(B118,Liegenschaften!$D$4:$AI$43,24,0)</f>
        <v>#N/A</v>
      </c>
      <c r="H118" s="229" t="e">
        <f>VLOOKUP(B118,Liegenschaften!$D$4:$AI$43,25,0)</f>
        <v>#N/A</v>
      </c>
      <c r="I118" s="229" t="e">
        <f>VLOOKUP(B118,Liegenschaften!$D$4:$AI$43,26,0)</f>
        <v>#N/A</v>
      </c>
      <c r="J118" s="229" t="e">
        <f>VLOOKUP(B118,Liegenschaften!$D$4:$AI$43,27,0)</f>
        <v>#N/A</v>
      </c>
      <c r="K118" s="60" t="e">
        <f>VLOOKUP(B118,Liegenschaften!$D$4:$AI$43,27,0)</f>
        <v>#N/A</v>
      </c>
      <c r="L118" s="229" t="e">
        <f>VLOOKUP(B118,Liegenschaften!$D$4:$AI$43,28,0)</f>
        <v>#N/A</v>
      </c>
      <c r="M118" s="231" t="e">
        <f>VLOOKUP(B118,Liegenschaften!$D$4:$AI$43,29,0)</f>
        <v>#N/A</v>
      </c>
    </row>
    <row r="119" spans="1:13" ht="12.75">
      <c r="A119">
        <v>28</v>
      </c>
      <c r="B119" s="228" t="e">
        <f>VLOOKUP(A119,Liegenschaften!$C$4:$AG$43,2,0)</f>
        <v>#N/A</v>
      </c>
      <c r="C119" s="60" t="e">
        <f>VLOOKUP(B119,Liegenschaften!$D$4:$AI$43,4,0)</f>
        <v>#N/A</v>
      </c>
      <c r="D119" s="60" t="e">
        <f>VLOOKUP(B119,Liegenschaften!$D$4:$AI$43,5,0)</f>
        <v>#N/A</v>
      </c>
      <c r="E119" s="60" t="e">
        <f>VLOOKUP(B119,Liegenschaften!$D$4:$AI$43,20,0)</f>
        <v>#N/A</v>
      </c>
      <c r="F119" s="229" t="e">
        <f>VLOOKUP(B119,Liegenschaften!$D$4:$AI$43,23,0)</f>
        <v>#N/A</v>
      </c>
      <c r="G119" s="230" t="e">
        <f>VLOOKUP(B119,Liegenschaften!$D$4:$AI$43,24,0)</f>
        <v>#N/A</v>
      </c>
      <c r="H119" s="229" t="e">
        <f>VLOOKUP(B119,Liegenschaften!$D$4:$AI$43,25,0)</f>
        <v>#N/A</v>
      </c>
      <c r="I119" s="229" t="e">
        <f>VLOOKUP(B119,Liegenschaften!$D$4:$AI$43,26,0)</f>
        <v>#N/A</v>
      </c>
      <c r="J119" s="229" t="e">
        <f>VLOOKUP(B119,Liegenschaften!$D$4:$AI$43,27,0)</f>
        <v>#N/A</v>
      </c>
      <c r="K119" s="60" t="e">
        <f>VLOOKUP(B119,Liegenschaften!$D$4:$AI$43,27,0)</f>
        <v>#N/A</v>
      </c>
      <c r="L119" s="229" t="e">
        <f>VLOOKUP(B119,Liegenschaften!$D$4:$AI$43,28,0)</f>
        <v>#N/A</v>
      </c>
      <c r="M119" s="231" t="e">
        <f>VLOOKUP(B119,Liegenschaften!$D$4:$AI$43,29,0)</f>
        <v>#N/A</v>
      </c>
    </row>
    <row r="120" spans="1:13" ht="12.75">
      <c r="A120">
        <v>29</v>
      </c>
      <c r="B120" s="228" t="e">
        <f>VLOOKUP(A120,Liegenschaften!$C$4:$AG$43,2,0)</f>
        <v>#N/A</v>
      </c>
      <c r="C120" s="60" t="e">
        <f>VLOOKUP(B120,Liegenschaften!$D$4:$AI$43,4,0)</f>
        <v>#N/A</v>
      </c>
      <c r="D120" s="60" t="e">
        <f>VLOOKUP(B120,Liegenschaften!$D$4:$AI$43,5,0)</f>
        <v>#N/A</v>
      </c>
      <c r="E120" s="60" t="e">
        <f>VLOOKUP(B120,Liegenschaften!$D$4:$AI$43,20,0)</f>
        <v>#N/A</v>
      </c>
      <c r="F120" s="229" t="e">
        <f>VLOOKUP(B120,Liegenschaften!$D$4:$AI$43,23,0)</f>
        <v>#N/A</v>
      </c>
      <c r="G120" s="230" t="e">
        <f>VLOOKUP(B120,Liegenschaften!$D$4:$AI$43,24,0)</f>
        <v>#N/A</v>
      </c>
      <c r="H120" s="229" t="e">
        <f>VLOOKUP(B120,Liegenschaften!$D$4:$AI$43,25,0)</f>
        <v>#N/A</v>
      </c>
      <c r="I120" s="229" t="e">
        <f>VLOOKUP(B120,Liegenschaften!$D$4:$AI$43,26,0)</f>
        <v>#N/A</v>
      </c>
      <c r="J120" s="229" t="e">
        <f>VLOOKUP(B120,Liegenschaften!$D$4:$AI$43,27,0)</f>
        <v>#N/A</v>
      </c>
      <c r="K120" s="60" t="e">
        <f>VLOOKUP(B120,Liegenschaften!$D$4:$AI$43,27,0)</f>
        <v>#N/A</v>
      </c>
      <c r="L120" s="229" t="e">
        <f>VLOOKUP(B120,Liegenschaften!$D$4:$AI$43,28,0)</f>
        <v>#N/A</v>
      </c>
      <c r="M120" s="231" t="e">
        <f>VLOOKUP(B120,Liegenschaften!$D$4:$AI$43,29,0)</f>
        <v>#N/A</v>
      </c>
    </row>
    <row r="121" spans="1:13" ht="12.75">
      <c r="A121">
        <v>30</v>
      </c>
      <c r="B121" s="228" t="e">
        <f>VLOOKUP(A121,Liegenschaften!$C$4:$AG$43,2,0)</f>
        <v>#N/A</v>
      </c>
      <c r="C121" s="60" t="e">
        <f>VLOOKUP(B121,Liegenschaften!$D$4:$AI$43,4,0)</f>
        <v>#N/A</v>
      </c>
      <c r="D121" s="60" t="e">
        <f>VLOOKUP(B121,Liegenschaften!$D$4:$AI$43,5,0)</f>
        <v>#N/A</v>
      </c>
      <c r="E121" s="60" t="e">
        <f>VLOOKUP(B121,Liegenschaften!$D$4:$AI$43,20,0)</f>
        <v>#N/A</v>
      </c>
      <c r="F121" s="229" t="e">
        <f>VLOOKUP(B121,Liegenschaften!$D$4:$AI$43,23,0)</f>
        <v>#N/A</v>
      </c>
      <c r="G121" s="230" t="e">
        <f>VLOOKUP(B121,Liegenschaften!$D$4:$AI$43,24,0)</f>
        <v>#N/A</v>
      </c>
      <c r="H121" s="229" t="e">
        <f>VLOOKUP(B121,Liegenschaften!$D$4:$AI$43,25,0)</f>
        <v>#N/A</v>
      </c>
      <c r="I121" s="229" t="e">
        <f>VLOOKUP(B121,Liegenschaften!$D$4:$AI$43,26,0)</f>
        <v>#N/A</v>
      </c>
      <c r="J121" s="229" t="e">
        <f>VLOOKUP(B121,Liegenschaften!$D$4:$AI$43,27,0)</f>
        <v>#N/A</v>
      </c>
      <c r="K121" s="60" t="e">
        <f>VLOOKUP(B121,Liegenschaften!$D$4:$AI$43,27,0)</f>
        <v>#N/A</v>
      </c>
      <c r="L121" s="229" t="e">
        <f>VLOOKUP(B121,Liegenschaften!$D$4:$AI$43,28,0)</f>
        <v>#N/A</v>
      </c>
      <c r="M121" s="231" t="e">
        <f>VLOOKUP(B121,Liegenschaften!$D$4:$AI$43,29,0)</f>
        <v>#N/A</v>
      </c>
    </row>
    <row r="122" spans="1:13" ht="12.75">
      <c r="A122">
        <v>31</v>
      </c>
      <c r="B122" s="228" t="e">
        <f>VLOOKUP(A122,Liegenschaften!$C$4:$AG$43,2,0)</f>
        <v>#N/A</v>
      </c>
      <c r="C122" s="60" t="e">
        <f>VLOOKUP(B122,Liegenschaften!$D$4:$AI$43,4,0)</f>
        <v>#N/A</v>
      </c>
      <c r="D122" s="60" t="e">
        <f>VLOOKUP(B122,Liegenschaften!$D$4:$AI$43,5,0)</f>
        <v>#N/A</v>
      </c>
      <c r="E122" s="60" t="e">
        <f>VLOOKUP(B122,Liegenschaften!$D$4:$AI$43,20,0)</f>
        <v>#N/A</v>
      </c>
      <c r="F122" s="229" t="e">
        <f>VLOOKUP(B122,Liegenschaften!$D$4:$AI$43,23,0)</f>
        <v>#N/A</v>
      </c>
      <c r="G122" s="230" t="e">
        <f>VLOOKUP(B122,Liegenschaften!$D$4:$AI$43,24,0)</f>
        <v>#N/A</v>
      </c>
      <c r="H122" s="229" t="e">
        <f>VLOOKUP(B122,Liegenschaften!$D$4:$AI$43,25,0)</f>
        <v>#N/A</v>
      </c>
      <c r="I122" s="229" t="e">
        <f>VLOOKUP(B122,Liegenschaften!$D$4:$AI$43,26,0)</f>
        <v>#N/A</v>
      </c>
      <c r="J122" s="229" t="e">
        <f>VLOOKUP(B122,Liegenschaften!$D$4:$AI$43,27,0)</f>
        <v>#N/A</v>
      </c>
      <c r="K122" s="60" t="e">
        <f>VLOOKUP(B122,Liegenschaften!$D$4:$AI$43,27,0)</f>
        <v>#N/A</v>
      </c>
      <c r="L122" s="229" t="e">
        <f>VLOOKUP(B122,Liegenschaften!$D$4:$AI$43,28,0)</f>
        <v>#N/A</v>
      </c>
      <c r="M122" s="231" t="e">
        <f>VLOOKUP(B122,Liegenschaften!$D$4:$AI$43,29,0)</f>
        <v>#N/A</v>
      </c>
    </row>
    <row r="123" spans="1:13" ht="12.75">
      <c r="A123">
        <v>32</v>
      </c>
      <c r="B123" s="228" t="e">
        <f>VLOOKUP(A123,Liegenschaften!$C$4:$AG$43,2,0)</f>
        <v>#N/A</v>
      </c>
      <c r="C123" s="60" t="e">
        <f>VLOOKUP(B123,Liegenschaften!$D$4:$AI$43,4,0)</f>
        <v>#N/A</v>
      </c>
      <c r="D123" s="60" t="e">
        <f>VLOOKUP(B123,Liegenschaften!$D$4:$AI$43,5,0)</f>
        <v>#N/A</v>
      </c>
      <c r="E123" s="60" t="e">
        <f>VLOOKUP(B123,Liegenschaften!$D$4:$AI$43,20,0)</f>
        <v>#N/A</v>
      </c>
      <c r="F123" s="229" t="e">
        <f>VLOOKUP(B123,Liegenschaften!$D$4:$AI$43,23,0)</f>
        <v>#N/A</v>
      </c>
      <c r="G123" s="230" t="e">
        <f>VLOOKUP(B123,Liegenschaften!$D$4:$AI$43,24,0)</f>
        <v>#N/A</v>
      </c>
      <c r="H123" s="229" t="e">
        <f>VLOOKUP(B123,Liegenschaften!$D$4:$AI$43,25,0)</f>
        <v>#N/A</v>
      </c>
      <c r="I123" s="229" t="e">
        <f>VLOOKUP(B123,Liegenschaften!$D$4:$AI$43,26,0)</f>
        <v>#N/A</v>
      </c>
      <c r="J123" s="229" t="e">
        <f>VLOOKUP(B123,Liegenschaften!$D$4:$AI$43,27,0)</f>
        <v>#N/A</v>
      </c>
      <c r="K123" s="60" t="e">
        <f>VLOOKUP(B123,Liegenschaften!$D$4:$AI$43,27,0)</f>
        <v>#N/A</v>
      </c>
      <c r="L123" s="229" t="e">
        <f>VLOOKUP(B123,Liegenschaften!$D$4:$AI$43,28,0)</f>
        <v>#N/A</v>
      </c>
      <c r="M123" s="231" t="e">
        <f>VLOOKUP(B123,Liegenschaften!$D$4:$AI$43,29,0)</f>
        <v>#N/A</v>
      </c>
    </row>
    <row r="124" spans="1:13" ht="12.75">
      <c r="A124">
        <v>33</v>
      </c>
      <c r="B124" s="228" t="e">
        <f>VLOOKUP(A124,Liegenschaften!$C$4:$AG$43,2,0)</f>
        <v>#N/A</v>
      </c>
      <c r="C124" s="60" t="e">
        <f>VLOOKUP(B124,Liegenschaften!$D$4:$AI$43,4,0)</f>
        <v>#N/A</v>
      </c>
      <c r="D124" s="60" t="e">
        <f>VLOOKUP(B124,Liegenschaften!$D$4:$AI$43,5,0)</f>
        <v>#N/A</v>
      </c>
      <c r="E124" s="60" t="e">
        <f>VLOOKUP(B124,Liegenschaften!$D$4:$AI$43,20,0)</f>
        <v>#N/A</v>
      </c>
      <c r="F124" s="229" t="e">
        <f>VLOOKUP(B124,Liegenschaften!$D$4:$AI$43,23,0)</f>
        <v>#N/A</v>
      </c>
      <c r="G124" s="230" t="e">
        <f>VLOOKUP(B124,Liegenschaften!$D$4:$AI$43,24,0)</f>
        <v>#N/A</v>
      </c>
      <c r="H124" s="229" t="e">
        <f>VLOOKUP(B124,Liegenschaften!$D$4:$AI$43,25,0)</f>
        <v>#N/A</v>
      </c>
      <c r="I124" s="229" t="e">
        <f>VLOOKUP(B124,Liegenschaften!$D$4:$AI$43,26,0)</f>
        <v>#N/A</v>
      </c>
      <c r="J124" s="229" t="e">
        <f>VLOOKUP(B124,Liegenschaften!$D$4:$AI$43,27,0)</f>
        <v>#N/A</v>
      </c>
      <c r="K124" s="60" t="e">
        <f>VLOOKUP(B124,Liegenschaften!$D$4:$AI$43,27,0)</f>
        <v>#N/A</v>
      </c>
      <c r="L124" s="229" t="e">
        <f>VLOOKUP(B124,Liegenschaften!$D$4:$AI$43,28,0)</f>
        <v>#N/A</v>
      </c>
      <c r="M124" s="231" t="e">
        <f>VLOOKUP(B124,Liegenschaften!$D$4:$AI$43,29,0)</f>
        <v>#N/A</v>
      </c>
    </row>
    <row r="125" spans="1:13" ht="12.75">
      <c r="A125">
        <v>34</v>
      </c>
      <c r="B125" s="228" t="e">
        <f>VLOOKUP(A125,Liegenschaften!$C$4:$AG$43,2,0)</f>
        <v>#N/A</v>
      </c>
      <c r="C125" s="60" t="e">
        <f>VLOOKUP(B125,Liegenschaften!$D$4:$AI$43,4,0)</f>
        <v>#N/A</v>
      </c>
      <c r="D125" s="60" t="e">
        <f>VLOOKUP(B125,Liegenschaften!$D$4:$AI$43,5,0)</f>
        <v>#N/A</v>
      </c>
      <c r="E125" s="60" t="e">
        <f>VLOOKUP(B125,Liegenschaften!$D$4:$AI$43,20,0)</f>
        <v>#N/A</v>
      </c>
      <c r="F125" s="229" t="e">
        <f>VLOOKUP(B125,Liegenschaften!$D$4:$AI$43,23,0)</f>
        <v>#N/A</v>
      </c>
      <c r="G125" s="230" t="e">
        <f>VLOOKUP(B125,Liegenschaften!$D$4:$AI$43,24,0)</f>
        <v>#N/A</v>
      </c>
      <c r="H125" s="229" t="e">
        <f>VLOOKUP(B125,Liegenschaften!$D$4:$AI$43,25,0)</f>
        <v>#N/A</v>
      </c>
      <c r="I125" s="229" t="e">
        <f>VLOOKUP(B125,Liegenschaften!$D$4:$AI$43,26,0)</f>
        <v>#N/A</v>
      </c>
      <c r="J125" s="229" t="e">
        <f>VLOOKUP(B125,Liegenschaften!$D$4:$AI$43,27,0)</f>
        <v>#N/A</v>
      </c>
      <c r="K125" s="60" t="e">
        <f>VLOOKUP(B125,Liegenschaften!$D$4:$AI$43,27,0)</f>
        <v>#N/A</v>
      </c>
      <c r="L125" s="229" t="e">
        <f>VLOOKUP(B125,Liegenschaften!$D$4:$AI$43,28,0)</f>
        <v>#N/A</v>
      </c>
      <c r="M125" s="231" t="e">
        <f>VLOOKUP(B125,Liegenschaften!$D$4:$AI$43,29,0)</f>
        <v>#N/A</v>
      </c>
    </row>
    <row r="126" spans="1:13" ht="12.75">
      <c r="A126">
        <v>35</v>
      </c>
      <c r="B126" s="228" t="e">
        <f>VLOOKUP(A126,Liegenschaften!$C$4:$AG$43,2,0)</f>
        <v>#N/A</v>
      </c>
      <c r="C126" s="60" t="e">
        <f>VLOOKUP(B126,Liegenschaften!$D$4:$AI$43,4,0)</f>
        <v>#N/A</v>
      </c>
      <c r="D126" s="60" t="e">
        <f>VLOOKUP(B126,Liegenschaften!$D$4:$AI$43,5,0)</f>
        <v>#N/A</v>
      </c>
      <c r="E126" s="60" t="e">
        <f>VLOOKUP(B126,Liegenschaften!$D$4:$AI$43,20,0)</f>
        <v>#N/A</v>
      </c>
      <c r="F126" s="229" t="e">
        <f>VLOOKUP(B126,Liegenschaften!$D$4:$AI$43,23,0)</f>
        <v>#N/A</v>
      </c>
      <c r="G126" s="230" t="e">
        <f>VLOOKUP(B126,Liegenschaften!$D$4:$AI$43,24,0)</f>
        <v>#N/A</v>
      </c>
      <c r="H126" s="229" t="e">
        <f>VLOOKUP(B126,Liegenschaften!$D$4:$AI$43,25,0)</f>
        <v>#N/A</v>
      </c>
      <c r="I126" s="229" t="e">
        <f>VLOOKUP(B126,Liegenschaften!$D$4:$AI$43,26,0)</f>
        <v>#N/A</v>
      </c>
      <c r="J126" s="229" t="e">
        <f>VLOOKUP(B126,Liegenschaften!$D$4:$AI$43,27,0)</f>
        <v>#N/A</v>
      </c>
      <c r="K126" s="60" t="e">
        <f>VLOOKUP(B126,Liegenschaften!$D$4:$AI$43,27,0)</f>
        <v>#N/A</v>
      </c>
      <c r="L126" s="229" t="e">
        <f>VLOOKUP(B126,Liegenschaften!$D$4:$AI$43,28,0)</f>
        <v>#N/A</v>
      </c>
      <c r="M126" s="231" t="e">
        <f>VLOOKUP(B126,Liegenschaften!$D$4:$AI$43,29,0)</f>
        <v>#N/A</v>
      </c>
    </row>
    <row r="127" spans="1:13" ht="12.75">
      <c r="A127">
        <v>36</v>
      </c>
      <c r="B127" s="228" t="e">
        <f>VLOOKUP(A127,Liegenschaften!$C$4:$AG$43,2,0)</f>
        <v>#N/A</v>
      </c>
      <c r="C127" s="60" t="e">
        <f>VLOOKUP(B127,Liegenschaften!$D$4:$AI$43,4,0)</f>
        <v>#N/A</v>
      </c>
      <c r="D127" s="60" t="e">
        <f>VLOOKUP(B127,Liegenschaften!$D$4:$AI$43,5,0)</f>
        <v>#N/A</v>
      </c>
      <c r="E127" s="60" t="e">
        <f>VLOOKUP(B127,Liegenschaften!$D$4:$AI$43,20,0)</f>
        <v>#N/A</v>
      </c>
      <c r="F127" s="229" t="e">
        <f>VLOOKUP(B127,Liegenschaften!$D$4:$AI$43,23,0)</f>
        <v>#N/A</v>
      </c>
      <c r="G127" s="230" t="e">
        <f>VLOOKUP(B127,Liegenschaften!$D$4:$AI$43,24,0)</f>
        <v>#N/A</v>
      </c>
      <c r="H127" s="229" t="e">
        <f>VLOOKUP(B127,Liegenschaften!$D$4:$AI$43,25,0)</f>
        <v>#N/A</v>
      </c>
      <c r="I127" s="229" t="e">
        <f>VLOOKUP(B127,Liegenschaften!$D$4:$AI$43,26,0)</f>
        <v>#N/A</v>
      </c>
      <c r="J127" s="229" t="e">
        <f>VLOOKUP(B127,Liegenschaften!$D$4:$AI$43,27,0)</f>
        <v>#N/A</v>
      </c>
      <c r="K127" s="60" t="e">
        <f>VLOOKUP(B127,Liegenschaften!$D$4:$AI$43,27,0)</f>
        <v>#N/A</v>
      </c>
      <c r="L127" s="229" t="e">
        <f>VLOOKUP(B127,Liegenschaften!$D$4:$AI$43,28,0)</f>
        <v>#N/A</v>
      </c>
      <c r="M127" s="231" t="e">
        <f>VLOOKUP(B127,Liegenschaften!$D$4:$AI$43,29,0)</f>
        <v>#N/A</v>
      </c>
    </row>
    <row r="128" spans="1:13" ht="12.75">
      <c r="A128">
        <v>37</v>
      </c>
      <c r="B128" s="228" t="e">
        <f>VLOOKUP(A128,Liegenschaften!$C$4:$AG$43,2,0)</f>
        <v>#N/A</v>
      </c>
      <c r="C128" s="60" t="e">
        <f>VLOOKUP(B128,Liegenschaften!$D$4:$AI$43,4,0)</f>
        <v>#N/A</v>
      </c>
      <c r="D128" s="60" t="e">
        <f>VLOOKUP(B128,Liegenschaften!$D$4:$AI$43,5,0)</f>
        <v>#N/A</v>
      </c>
      <c r="E128" s="60" t="e">
        <f>VLOOKUP(B128,Liegenschaften!$D$4:$AI$43,20,0)</f>
        <v>#N/A</v>
      </c>
      <c r="F128" s="229" t="e">
        <f>VLOOKUP(B128,Liegenschaften!$D$4:$AI$43,23,0)</f>
        <v>#N/A</v>
      </c>
      <c r="G128" s="230" t="e">
        <f>VLOOKUP(B128,Liegenschaften!$D$4:$AI$43,24,0)</f>
        <v>#N/A</v>
      </c>
      <c r="H128" s="229" t="e">
        <f>VLOOKUP(B128,Liegenschaften!$D$4:$AI$43,25,0)</f>
        <v>#N/A</v>
      </c>
      <c r="I128" s="229" t="e">
        <f>VLOOKUP(B128,Liegenschaften!$D$4:$AI$43,26,0)</f>
        <v>#N/A</v>
      </c>
      <c r="J128" s="229" t="e">
        <f>VLOOKUP(B128,Liegenschaften!$D$4:$AI$43,27,0)</f>
        <v>#N/A</v>
      </c>
      <c r="K128" s="60" t="e">
        <f>VLOOKUP(B128,Liegenschaften!$D$4:$AI$43,27,0)</f>
        <v>#N/A</v>
      </c>
      <c r="L128" s="229" t="e">
        <f>VLOOKUP(B128,Liegenschaften!$D$4:$AI$43,28,0)</f>
        <v>#N/A</v>
      </c>
      <c r="M128" s="231" t="e">
        <f>VLOOKUP(B128,Liegenschaften!$D$4:$AI$43,29,0)</f>
        <v>#N/A</v>
      </c>
    </row>
    <row r="129" spans="1:13" ht="12.75">
      <c r="A129">
        <v>38</v>
      </c>
      <c r="B129" s="228" t="e">
        <f>VLOOKUP(A129,Liegenschaften!$C$4:$AG$43,2,0)</f>
        <v>#N/A</v>
      </c>
      <c r="C129" s="60" t="e">
        <f>VLOOKUP(B129,Liegenschaften!$D$4:$AI$43,4,0)</f>
        <v>#N/A</v>
      </c>
      <c r="D129" s="60" t="e">
        <f>VLOOKUP(B129,Liegenschaften!$D$4:$AI$43,5,0)</f>
        <v>#N/A</v>
      </c>
      <c r="E129" s="60" t="e">
        <f>VLOOKUP(B129,Liegenschaften!$D$4:$AI$43,20,0)</f>
        <v>#N/A</v>
      </c>
      <c r="F129" s="229" t="e">
        <f>VLOOKUP(B129,Liegenschaften!$D$4:$AI$43,23,0)</f>
        <v>#N/A</v>
      </c>
      <c r="G129" s="230" t="e">
        <f>VLOOKUP(B129,Liegenschaften!$D$4:$AI$43,24,0)</f>
        <v>#N/A</v>
      </c>
      <c r="H129" s="229" t="e">
        <f>VLOOKUP(B129,Liegenschaften!$D$4:$AI$43,25,0)</f>
        <v>#N/A</v>
      </c>
      <c r="I129" s="229" t="e">
        <f>VLOOKUP(B129,Liegenschaften!$D$4:$AI$43,26,0)</f>
        <v>#N/A</v>
      </c>
      <c r="J129" s="229" t="e">
        <f>VLOOKUP(B129,Liegenschaften!$D$4:$AI$43,27,0)</f>
        <v>#N/A</v>
      </c>
      <c r="K129" s="60" t="e">
        <f>VLOOKUP(B129,Liegenschaften!$D$4:$AI$43,27,0)</f>
        <v>#N/A</v>
      </c>
      <c r="L129" s="229" t="e">
        <f>VLOOKUP(B129,Liegenschaften!$D$4:$AI$43,28,0)</f>
        <v>#N/A</v>
      </c>
      <c r="M129" s="231" t="e">
        <f>VLOOKUP(B129,Liegenschaften!$D$4:$AI$43,29,0)</f>
        <v>#N/A</v>
      </c>
    </row>
    <row r="130" spans="1:13" ht="12.75">
      <c r="A130">
        <v>39</v>
      </c>
      <c r="B130" s="228" t="e">
        <f>VLOOKUP(A130,Liegenschaften!$C$4:$AG$43,2,0)</f>
        <v>#N/A</v>
      </c>
      <c r="C130" s="60" t="e">
        <f>VLOOKUP(B130,Liegenschaften!$D$4:$AI$43,4,0)</f>
        <v>#N/A</v>
      </c>
      <c r="D130" s="60" t="e">
        <f>VLOOKUP(B130,Liegenschaften!$D$4:$AI$43,5,0)</f>
        <v>#N/A</v>
      </c>
      <c r="E130" s="60" t="e">
        <f>VLOOKUP(B130,Liegenschaften!$D$4:$AI$43,20,0)</f>
        <v>#N/A</v>
      </c>
      <c r="F130" s="229" t="e">
        <f>VLOOKUP(B130,Liegenschaften!$D$4:$AI$43,23,0)</f>
        <v>#N/A</v>
      </c>
      <c r="G130" s="230" t="e">
        <f>VLOOKUP(B130,Liegenschaften!$D$4:$AI$43,24,0)</f>
        <v>#N/A</v>
      </c>
      <c r="H130" s="229" t="e">
        <f>VLOOKUP(B130,Liegenschaften!$D$4:$AI$43,25,0)</f>
        <v>#N/A</v>
      </c>
      <c r="I130" s="229" t="e">
        <f>VLOOKUP(B130,Liegenschaften!$D$4:$AI$43,26,0)</f>
        <v>#N/A</v>
      </c>
      <c r="J130" s="229" t="e">
        <f>VLOOKUP(B130,Liegenschaften!$D$4:$AI$43,27,0)</f>
        <v>#N/A</v>
      </c>
      <c r="K130" s="60" t="e">
        <f>VLOOKUP(B130,Liegenschaften!$D$4:$AI$43,27,0)</f>
        <v>#N/A</v>
      </c>
      <c r="L130" s="229" t="e">
        <f>VLOOKUP(B130,Liegenschaften!$D$4:$AI$43,28,0)</f>
        <v>#N/A</v>
      </c>
      <c r="M130" s="231" t="e">
        <f>VLOOKUP(B130,Liegenschaften!$D$4:$AI$43,29,0)</f>
        <v>#N/A</v>
      </c>
    </row>
    <row r="131" spans="1:13" ht="12.8">
      <c r="A131">
        <v>40</v>
      </c>
      <c r="B131" s="232" t="e">
        <f>VLOOKUP(A131,Liegenschaften!$C$4:$AG$43,2,0)</f>
        <v>#N/A</v>
      </c>
      <c r="C131" s="233" t="e">
        <f>VLOOKUP(B131,Liegenschaften!$D$4:$AI$43,4,0)</f>
        <v>#N/A</v>
      </c>
      <c r="D131" s="233" t="e">
        <f>VLOOKUP(B131,Liegenschaften!$D$4:$AI$43,5,0)</f>
        <v>#N/A</v>
      </c>
      <c r="E131" s="233" t="e">
        <f>VLOOKUP(B131,Liegenschaften!$D$4:$AI$43,20,0)</f>
        <v>#N/A</v>
      </c>
      <c r="F131" s="234" t="e">
        <f>VLOOKUP(B131,Liegenschaften!$D$4:$AI$43,23,0)</f>
        <v>#N/A</v>
      </c>
      <c r="G131" s="235" t="e">
        <f>VLOOKUP(B131,Liegenschaften!$D$4:$AI$43,24,0)</f>
        <v>#N/A</v>
      </c>
      <c r="H131" s="234" t="e">
        <f>VLOOKUP(B131,Liegenschaften!$D$4:$AI$43,25,0)</f>
        <v>#N/A</v>
      </c>
      <c r="I131" s="234" t="e">
        <f>VLOOKUP(B131,Liegenschaften!$D$4:$AI$43,26,0)</f>
        <v>#N/A</v>
      </c>
      <c r="J131" s="234" t="e">
        <f>VLOOKUP(B131,Liegenschaften!$D$4:$AI$43,27,0)</f>
        <v>#N/A</v>
      </c>
      <c r="K131" s="233" t="e">
        <f>VLOOKUP(B131,Liegenschaften!$D$4:$AI$43,27,0)</f>
        <v>#N/A</v>
      </c>
      <c r="L131" s="234" t="e">
        <f>VLOOKUP(B131,Liegenschaften!$D$4:$AI$43,28,0)</f>
        <v>#N/A</v>
      </c>
      <c r="M131" s="236" t="e">
        <f>VLOOKUP(B131,Liegenschaften!$D$4:$AI$43,29,0)</f>
        <v>#N/A</v>
      </c>
    </row>
  </sheetData>
  <conditionalFormatting sqref="M4:M43 M48:M87 M92:M131">
    <cfRule type="cellIs" priority="2" dxfId="0" operator="equal">
      <formula>"A+"</formula>
    </cfRule>
    <cfRule type="cellIs" priority="3" dxfId="1" operator="equal">
      <formula>"A"</formula>
    </cfRule>
    <cfRule type="cellIs" priority="4" dxfId="2" operator="equal">
      <formula>"B"</formula>
    </cfRule>
    <cfRule type="cellIs" priority="5" dxfId="3" operator="equal">
      <formula>"C"</formula>
    </cfRule>
    <cfRule type="cellIs" priority="6" dxfId="4" operator="equal">
      <formula>"D"</formula>
    </cfRule>
    <cfRule type="cellIs" priority="7" dxfId="5" operator="equal">
      <formula>"E"</formula>
    </cfRule>
    <cfRule type="cellIs" priority="8" dxfId="5" operator="equal">
      <formula>"F"</formula>
    </cfRule>
    <cfRule type="cellIs" priority="9" dxfId="7" operator="equal">
      <formula>"G"</formula>
    </cfRule>
    <cfRule type="cellIs" priority="10" dxfId="8" operator="equal">
      <formula>"H"</formula>
    </cfRule>
  </conditionalFormatting>
  <printOptions/>
  <pageMargins left="0.275694444444444" right="0.275694444444444" top="0.275694444444444" bottom="0.275694444444444" header="0.511805555555555" footer="0.511805555555555"/>
  <pageSetup fitToHeight="1" fitToWidth="1" horizontalDpi="300" verticalDpi="300" orientation="landscape" paperSize="9" copies="1"/>
  <tableParts>
    <tablePart r:id="rId1"/>
  </tableParts>
</worksheet>
</file>

<file path=docProps/app.xml><?xml version="1.0" encoding="utf-8"?>
<Properties xmlns="http://schemas.openxmlformats.org/officeDocument/2006/extended-properties" xmlns:vt="http://schemas.openxmlformats.org/officeDocument/2006/docPropsVTypes">
  <Application>LibreOffice/7.0.4.2$Linux_X86_64 LibreOffice_project/00$Build-2</Application>
  <DocSecurity>0</DocSecurity>
  <Template/>
  <Manager/>
  <Company/>
  <TotalTime>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Nadja</dc:creator>
  <cp:keywords/>
  <dc:description/>
  <cp:lastModifiedBy>Hansjürgen Dreuth</cp:lastModifiedBy>
  <dcterms:created xsi:type="dcterms:W3CDTF">2017-10-20T23:41:04Z</dcterms:created>
  <dcterms:modified xsi:type="dcterms:W3CDTF">2024-03-17T16:15:00Z</dcterms:modified>
  <cp:category/>
  <cp:version/>
  <cp:contentType/>
  <cp:contentStatus/>
  <cp:revision>297</cp:revision>
</cp:coreProperties>
</file>